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5200" windowHeight="11250" tabRatio="633" activeTab="1"/>
  </bookViews>
  <sheets>
    <sheet name="Info" sheetId="1" r:id="rId1"/>
    <sheet name="Parameter" sheetId="2" r:id="rId2"/>
    <sheet name="Berechnung" sheetId="3" r:id="rId3"/>
    <sheet name="Jahresergebnis" sheetId="4" r:id="rId4"/>
    <sheet name="Kapitalwert" sheetId="5" r:id="rId5"/>
    <sheet name="Solarertrag" sheetId="6" r:id="rId6"/>
    <sheet name="Vergütung" sheetId="7" r:id="rId7"/>
    <sheet name="Info_FeldNamen" sheetId="8" r:id="rId8"/>
  </sheets>
  <definedNames>
    <definedName name="_€">'Parameter'!$C$39</definedName>
    <definedName name="_xlnm._FilterDatabase" localSheetId="7" hidden="1">'Info_FeldNamen'!$A$1:$H$1</definedName>
    <definedName name="Anlagenpreis">'Parameter'!$B$39</definedName>
    <definedName name="AnlagenpreisPV">'Parameter'!$B$18</definedName>
    <definedName name="Auszahlung1">'Parameter'!$B$45</definedName>
    <definedName name="BatteriespeicherJN">'Parameter'!$B$19</definedName>
    <definedName name="Batterietyp">'Parameter'!$B$20</definedName>
    <definedName name="BatterieVerluste">'Parameter'!$B$31</definedName>
    <definedName name="Bereitstellung1">'Parameter'!$B$46</definedName>
    <definedName name="Dachmiete">'Parameter'!$B$26</definedName>
    <definedName name="DegressiveAbschreibung">'Parameter'!$B$72</definedName>
    <definedName name="Direktvermarktung">'Parameter'!$B$35</definedName>
    <definedName name="_xlnm.Print_Area" localSheetId="2">'Berechnung'!$A$5:$Z$28</definedName>
    <definedName name="_xlnm.Print_Area" localSheetId="1">'Parameter'!$A$1:$H$73</definedName>
    <definedName name="eegSatz1">'Parameter'!$B$40</definedName>
    <definedName name="eegSatz2">'Parameter'!$B$41</definedName>
    <definedName name="eegSatz2011">'Vergütung'!$A$3</definedName>
    <definedName name="eegSatz2012">'Vergütung'!$B$3</definedName>
    <definedName name="eegSatz2012b">'Vergütung'!$C$3</definedName>
    <definedName name="eegSatz2013">'Vergütung'!$D$3</definedName>
    <definedName name="eegSatz2014">'Vergütung'!$E$3</definedName>
    <definedName name="eegSatz2015">'Vergütung'!$F$3</definedName>
    <definedName name="EEGSatz2016">'Vergütung'!$G$3</definedName>
    <definedName name="eegSatz2017">'Info_FeldNamen'!$C$63</definedName>
    <definedName name="eegUmlage">'Parameter'!$B$67</definedName>
    <definedName name="eegUmlageAnteil">'Parameter'!$E$67</definedName>
    <definedName name="EigenkapitalZuAnfang">'Parameter'!$B$14</definedName>
    <definedName name="Eigennutzung">'Parameter'!$B$29</definedName>
    <definedName name="EigennutzungSpeicher">'Parameter'!$B$30</definedName>
    <definedName name="Einspeisung">'Parameter'!$B$37</definedName>
    <definedName name="Ertragsminderung">'Parameter'!$B$28</definedName>
    <definedName name="Gewerbe">'Parameter'!$B$66</definedName>
    <definedName name="IBNJahr">'Parameter'!$B$33</definedName>
    <definedName name="IBNMonat">'Parameter'!$B$34</definedName>
    <definedName name="Inflationsrate">'Parameter'!$B$58</definedName>
    <definedName name="InternerZinsfussQ">'Berechnung'!$Y$31</definedName>
    <definedName name="Investitionsabzug">'Parameter'!$B$70</definedName>
    <definedName name="Jahr_der_Inbetriebnahme">'Parameter'!#REF!</definedName>
    <definedName name="Jahre">'Parameter'!$E$76:$E$81</definedName>
    <definedName name="Kleinunternehmer">'Parameter'!$B$36</definedName>
    <definedName name="Kredit1">'Parameter'!$B$44</definedName>
    <definedName name="Kredit2">'Parameter'!$B$52</definedName>
    <definedName name="kWp">'Parameter'!$B$17</definedName>
    <definedName name="Laufzeit1">'Parameter'!$B$50</definedName>
    <definedName name="Laufzeit2">'Parameter'!$B$54</definedName>
    <definedName name="LfdKosten">'Parameter'!$B$25</definedName>
    <definedName name="MwSt">'Parameter'!$B$66</definedName>
    <definedName name="ProgVersion">'Parameter'!$A$2</definedName>
    <definedName name="Solarertrag1">'Parameter'!$D$34</definedName>
    <definedName name="Sonderabschreibung">'Parameter'!$B$71</definedName>
    <definedName name="Steuersatz1">'Parameter'!$B$68</definedName>
    <definedName name="Steuersatz2">'Parameter'!$B$69</definedName>
    <definedName name="StromerlösDirektvermarktung">'Parameter'!$B$64</definedName>
    <definedName name="Stromertrag">'Parameter'!$B$27</definedName>
    <definedName name="StrompreisNetto">'Parameter'!$B$63</definedName>
    <definedName name="Strompreissteigerung">'Parameter'!$B$65</definedName>
    <definedName name="Tilgungsfrei1">'Parameter'!$B$51</definedName>
    <definedName name="Tilgungsfrei2">'Parameter'!$B$55</definedName>
    <definedName name="Vorlaufkosten">'Parameter'!$B$24</definedName>
    <definedName name="Zinsbindung1">'Parameter'!$B$48</definedName>
    <definedName name="Zinssatz1">'Parameter'!$B$47</definedName>
    <definedName name="Zinssatz1NachZinsbindung">'Parameter'!$B$49</definedName>
    <definedName name="Zinssatz2">'Parameter'!$B$53</definedName>
    <definedName name="ZinssatzBarwert">'Parameter'!$B$59</definedName>
    <definedName name="ZinssatzWiederanlage">'Parameter'!$B$60</definedName>
    <definedName name="ZusatzkostenBatterie">'Parameter'!$B$22</definedName>
    <definedName name="ZusatzkostenSteuerung">'Parameter'!$B$21</definedName>
    <definedName name="ZuschussBatterie">'Parameter'!$B$23</definedName>
  </definedNames>
  <calcPr fullCalcOnLoad="1"/>
</workbook>
</file>

<file path=xl/comments2.xml><?xml version="1.0" encoding="utf-8"?>
<comments xmlns="http://schemas.openxmlformats.org/spreadsheetml/2006/main">
  <authors>
    <author>Alfred K?rblein</author>
    <author>Alfred</author>
    <author>Windows User</author>
    <author/>
  </authors>
  <commentList>
    <comment ref="B59" authorId="0">
      <text>
        <r>
          <rPr>
            <b/>
            <sz val="9"/>
            <rFont val="Arial"/>
            <family val="2"/>
          </rPr>
          <t>Zinssatz, mit dem die jährlichen Erträge abgezinst (diskontiert) werden, um den Barwert zu ermitteln</t>
        </r>
      </text>
    </comment>
    <comment ref="B71" authorId="1">
      <text>
        <r>
          <rPr>
            <b/>
            <sz val="9"/>
            <rFont val="Arial"/>
            <family val="2"/>
          </rPr>
          <t>Im Jahr der Inbetriebnahme und in den 4 Folgejahren kann neben der linearen oder degressiven Abschreibung eine Sonderabschreibung in Höhe von insgesamt 20% vorgenommen werden.
Im Berechnungsblatt werden im Jahr der Inbetriebnahme 19% und  im 5. Jahr 1% abgeschrieben.</t>
        </r>
      </text>
    </comment>
    <comment ref="B70" authorId="1">
      <text>
        <r>
          <rPr>
            <b/>
            <sz val="9"/>
            <rFont val="Arial"/>
            <family val="2"/>
          </rPr>
          <t>Vor dem jeweiligen Jahr der Inbetriebnahme können im Jahr der Investitionsentscheidung (bei verbindlicher Bestellung der PV-Anlage, soweit ein Betrieb dafür erst gegründet wird) maximal 40% der Anschaffungskosten wie andere Aufwendungen steuermindernd geltend gemacht werden
(Investionsabzugsbetrag). Die Berechnung legt eine Inbetriebnahme im ersten Jahr, das auf das Jahr der Investitionsentscheidung folgt, zu Grunde. Spätestens im zweiten Folgejahr nach Bildung der 40% Rücklage muss die tatsächliche Investition/Inbetriebnahme erfolgen. 
Im Jahr der Inbetriebnahme (spätestens im zweiten Folgejahr nach Bildung der 40% Rücklage) werden diese 40% aber wieder gewinnerhöhend hinzugerechnet und müssen entsprechend versteuert werden. Der Investionsabzugsbetrag ist i.d.R. dann interessant, wenn das zu versteuernde Einkommen im Jahr der Investitionsentscheidung wesentlich höher ist als im Jahr der Inbetriebnahme.</t>
        </r>
      </text>
    </comment>
    <comment ref="B14" authorId="1">
      <text>
        <r>
          <rPr>
            <b/>
            <sz val="9"/>
            <rFont val="Arial"/>
            <family val="2"/>
          </rPr>
          <t xml:space="preserve">Berücksichtigt auch die Mehrwertsteuer! </t>
        </r>
      </text>
    </comment>
    <comment ref="B41" authorId="1">
      <text>
        <r>
          <rPr>
            <b/>
            <sz val="9"/>
            <rFont val="Tahoma"/>
            <family val="2"/>
          </rPr>
          <t>Bei einer Anlagenleistung &gt;500 kWp gibt es keine Vergütung für direkt geutzten Strom!</t>
        </r>
      </text>
    </comment>
    <comment ref="B12" authorId="0">
      <text>
        <r>
          <rPr>
            <b/>
            <sz val="9"/>
            <rFont val="Tahoma"/>
            <family val="2"/>
          </rPr>
          <t>LCOE:
Levelized Cost of Electricity</t>
        </r>
      </text>
    </comment>
    <comment ref="B66" authorId="2">
      <text>
        <r>
          <rPr>
            <b/>
            <sz val="9"/>
            <rFont val="Tahoma"/>
            <family val="2"/>
          </rPr>
          <t xml:space="preserve">Gewerbebetriebe zahlen keine Umsatzsteuer auf Eigenverbrauch </t>
        </r>
        <r>
          <rPr>
            <sz val="9"/>
            <rFont val="Tahoma"/>
            <family val="2"/>
          </rPr>
          <t xml:space="preserve">
</t>
        </r>
      </text>
    </comment>
    <comment ref="B20" authorId="3">
      <text>
        <r>
          <rPr>
            <b/>
            <sz val="9"/>
            <color indexed="8"/>
            <rFont val="Tahoma"/>
            <family val="2"/>
          </rPr>
          <t xml:space="preserve">Bei Bleibatterien wird ein zweimaliger Austausch der Batterien, bei Li-Ionen-Batterien kein Austausch innerhalb von 20 Jahren angenommen.
</t>
        </r>
        <r>
          <rPr>
            <sz val="9"/>
            <color indexed="8"/>
            <rFont val="Tahoma"/>
            <family val="2"/>
          </rPr>
          <t xml:space="preserve">
</t>
        </r>
      </text>
    </comment>
    <comment ref="B22" authorId="3">
      <text>
        <r>
          <rPr>
            <b/>
            <sz val="9"/>
            <color indexed="8"/>
            <rFont val="Tahoma"/>
            <family val="2"/>
          </rPr>
          <t xml:space="preserve">ca. 100 €/kWh bei Bleibatterien,
500 €/kWh bei Li-Ionen Batterien
</t>
        </r>
        <r>
          <rPr>
            <sz val="9"/>
            <color indexed="8"/>
            <rFont val="Tahoma"/>
            <family val="2"/>
          </rPr>
          <t xml:space="preserve">
</t>
        </r>
      </text>
    </comment>
    <comment ref="B24" authorId="3">
      <text>
        <r>
          <rPr>
            <b/>
            <sz val="9"/>
            <color indexed="8"/>
            <rFont val="Arial"/>
            <family val="2"/>
          </rPr>
          <t xml:space="preserve">z.B. für Planung und Zwischenfinanzierung der Mehrwertkosten
</t>
        </r>
      </text>
    </comment>
    <comment ref="B35" authorId="2">
      <text>
        <r>
          <rPr>
            <b/>
            <sz val="9"/>
            <rFont val="Tahoma"/>
            <family val="2"/>
          </rPr>
          <t>Verzicht auf EEG-Vergütung</t>
        </r>
      </text>
    </comment>
    <comment ref="B36" authorId="3">
      <text>
        <r>
          <rPr>
            <b/>
            <sz val="9"/>
            <color indexed="8"/>
            <rFont val="Tahoma"/>
            <family val="2"/>
          </rPr>
          <t xml:space="preserve">Bei Inanspruchnahme der Kleinunternehmer-Regelung (§19 des EEG) wird zwar die Umsatzsteuer in Höhe von 19% der Anlagenkosten nicht rückerstattet. Aber dafür wird keine MwSt auf den selbst verbrauchten Solarstrom erhoben. </t>
        </r>
      </text>
    </comment>
    <comment ref="B37" authorId="3">
      <text>
        <r>
          <rPr>
            <b/>
            <sz val="9"/>
            <color indexed="8"/>
            <rFont val="Tahoma"/>
            <family val="2"/>
          </rPr>
          <t xml:space="preserve">Verzichtet man auf die Einspeisung von Solarstrom ins Stromnetz, so fallen keine Steuern auf die Erträge an. Andererseits gibt es auch keine steuerliche Abschreibung. Aber es entfallen die jährlichen Abrechnungen mit dem Finanzamt. 
</t>
        </r>
      </text>
    </comment>
    <comment ref="B23" authorId="1">
      <text>
        <r>
          <rPr>
            <b/>
            <sz val="9"/>
            <rFont val="Tahoma"/>
            <family val="2"/>
          </rPr>
          <t xml:space="preserve">Höhe des Zuschusses bestimmen und hier eintragen (Anleitung siehe Informationsblatt der KfW, erhältlich über nebenstehenden Link)
</t>
        </r>
        <r>
          <rPr>
            <sz val="9"/>
            <rFont val="Tahoma"/>
            <family val="2"/>
          </rPr>
          <t xml:space="preserve">
</t>
        </r>
      </text>
    </comment>
  </commentList>
</comments>
</file>

<file path=xl/comments8.xml><?xml version="1.0" encoding="utf-8"?>
<comments xmlns="http://schemas.openxmlformats.org/spreadsheetml/2006/main">
  <authors>
    <author>G.Schlag</author>
  </authors>
  <commentList>
    <comment ref="G1" authorId="0">
      <text>
        <r>
          <rPr>
            <sz val="9"/>
            <rFont val="Tahoma"/>
            <family val="2"/>
          </rPr>
          <t>rechter Mausklick in Zelle/Hyperlink/bearbeiten: "Programme" statt "Program Files (x86)" setzen</t>
        </r>
      </text>
    </comment>
  </commentList>
</comments>
</file>

<file path=xl/sharedStrings.xml><?xml version="1.0" encoding="utf-8"?>
<sst xmlns="http://schemas.openxmlformats.org/spreadsheetml/2006/main" count="487" uniqueCount="317">
  <si>
    <t>Inflationsrate</t>
  </si>
  <si>
    <t>p.a.</t>
  </si>
  <si>
    <t>Jahr</t>
  </si>
  <si>
    <t>Zinsen</t>
  </si>
  <si>
    <t>Ergebnis</t>
  </si>
  <si>
    <t>Ergebnisse:</t>
  </si>
  <si>
    <t xml:space="preserve">Ergebnis </t>
  </si>
  <si>
    <t>steuerl.</t>
  </si>
  <si>
    <t>Jahres-</t>
  </si>
  <si>
    <t>Die Veränderung dieser Dateien und die Weiterverbreitung veränderter Kopien ist ausdrücklich untersagt.</t>
  </si>
  <si>
    <t>kWp</t>
  </si>
  <si>
    <t>laufende</t>
  </si>
  <si>
    <t>Kosten</t>
  </si>
  <si>
    <t>n. Steuer</t>
  </si>
  <si>
    <t xml:space="preserve">Barwert </t>
  </si>
  <si>
    <t>Restwert</t>
  </si>
  <si>
    <t>Restschuld</t>
  </si>
  <si>
    <t>€/kWp</t>
  </si>
  <si>
    <t>Tilgung</t>
  </si>
  <si>
    <t>Ertragsminderung pro Jahr</t>
  </si>
  <si>
    <t>€</t>
  </si>
  <si>
    <t>Hinweise:</t>
  </si>
  <si>
    <t>Jahre</t>
  </si>
  <si>
    <t>Kapitalwert</t>
  </si>
  <si>
    <t>Steuersatz (danach)</t>
  </si>
  <si>
    <t>1. Darlehen</t>
  </si>
  <si>
    <t>2. Darlehen</t>
  </si>
  <si>
    <t>spezifischer Stromertrag</t>
  </si>
  <si>
    <t>Annuität</t>
  </si>
  <si>
    <t>2. Darlehen (gleichbleibende Annuitäten)</t>
  </si>
  <si>
    <t xml:space="preserve">     Zinssatz</t>
  </si>
  <si>
    <t xml:space="preserve">     Auszahlung</t>
  </si>
  <si>
    <t xml:space="preserve">     Laufzeit</t>
  </si>
  <si>
    <t xml:space="preserve">     Tilgungsfreie Zeit</t>
  </si>
  <si>
    <t xml:space="preserve">     Bereitstellung</t>
  </si>
  <si>
    <t>AfA</t>
  </si>
  <si>
    <t xml:space="preserve">     Zinssatz (nominal)</t>
  </si>
  <si>
    <t>Wirtschaftlichkeit von Solarstrom</t>
  </si>
  <si>
    <t>Strompreissteigerung</t>
  </si>
  <si>
    <t>PV-Anlage</t>
  </si>
  <si>
    <t>Finanzierung</t>
  </si>
  <si>
    <t>Sonstiges</t>
  </si>
  <si>
    <t>Zinssatz für Barwertermittlung (Diskontsatz)</t>
  </si>
  <si>
    <t>indiv. Steuersatz (in den ersten 10 Jahren)</t>
  </si>
  <si>
    <t xml:space="preserve">     Zinssatz nach Zinsbindung</t>
  </si>
  <si>
    <t>Die Exceltabelle wurde sorgfältig getestet. Dennoch kann für die Richtigkeit und die korrekte Funktion keine Gewähr übernommen werden.</t>
  </si>
  <si>
    <t>Dachmiete</t>
  </si>
  <si>
    <t>kWh/a</t>
  </si>
  <si>
    <t>Kapitalwert (Gewinn bzw. Verlust)</t>
  </si>
  <si>
    <t>Vergütung für direkt genutzten Strom</t>
  </si>
  <si>
    <t>Investitionsabzug in % (max. 40%)</t>
  </si>
  <si>
    <t>SonderAfA</t>
  </si>
  <si>
    <t>Investabzug</t>
  </si>
  <si>
    <t>Januar</t>
  </si>
  <si>
    <t>Februar</t>
  </si>
  <si>
    <t>März</t>
  </si>
  <si>
    <t>April</t>
  </si>
  <si>
    <t>Mai</t>
  </si>
  <si>
    <t>Juni</t>
  </si>
  <si>
    <t>Juli</t>
  </si>
  <si>
    <t>August</t>
  </si>
  <si>
    <t>September</t>
  </si>
  <si>
    <t>Oktober</t>
  </si>
  <si>
    <t>November</t>
  </si>
  <si>
    <t>Dezember</t>
  </si>
  <si>
    <t>nein</t>
  </si>
  <si>
    <t>€/kWh</t>
  </si>
  <si>
    <t>&lt; 30%</t>
  </si>
  <si>
    <t>Falls Sie Fehler entdecken oder Verbesserungsvorschläge haben, wenden Sie sich bitte an Dr. Alfred Körblein, ak@umweltinstitut.org</t>
  </si>
  <si>
    <t>&gt; 30%</t>
  </si>
  <si>
    <t>Direktnutzung</t>
  </si>
  <si>
    <r>
      <t xml:space="preserve">erstellt von 
</t>
    </r>
    <r>
      <rPr>
        <b/>
        <sz val="11"/>
        <rFont val="Arial"/>
        <family val="2"/>
      </rPr>
      <t>Dr. Alfred Körblein</t>
    </r>
  </si>
  <si>
    <t>Hier geht es zum Textbeitrag "Wirtschaftlichkeit von Photovoltaik-Anlagen" auf der Webseite des Umweltinstitut München e.V.</t>
  </si>
  <si>
    <t xml:space="preserve">Bei Nutzung der Excel-Tabelle durch Organisationen und für öffentliche oder gewerbliche Zwecke bitten wir um die Angabe der Quelle: Umweltinstitut München e.V. </t>
  </si>
  <si>
    <r>
      <t xml:space="preserve">Die </t>
    </r>
    <r>
      <rPr>
        <b/>
        <sz val="10"/>
        <rFont val="Arial"/>
        <family val="2"/>
      </rPr>
      <t>Inflationsrate</t>
    </r>
    <r>
      <rPr>
        <sz val="10"/>
        <rFont val="Arial"/>
        <family val="0"/>
      </rPr>
      <t xml:space="preserve"> geht in die Rechnung ein, weil angenommen wird, dass die laufenden Kosten (Versicherung, Wartung) mit der Inflationsrate ansteigen.</t>
    </r>
  </si>
  <si>
    <t>Copyright  Dr. Alfred Körblein</t>
  </si>
  <si>
    <t>Monat der Inbetriebnahme (1-12)</t>
  </si>
  <si>
    <t>Strompreis im ersten Jahr (netto)</t>
  </si>
  <si>
    <t>Zinssatz bei Wiederanlage</t>
  </si>
  <si>
    <t>interner Zinsfuss (IRR)</t>
  </si>
  <si>
    <t>IRR=</t>
  </si>
  <si>
    <t>MIRR=</t>
  </si>
  <si>
    <t>Erzeugung</t>
  </si>
  <si>
    <t>EEG</t>
  </si>
  <si>
    <t>Vergütung</t>
  </si>
  <si>
    <t>entspr.</t>
  </si>
  <si>
    <t>Direktverbrauch</t>
  </si>
  <si>
    <r>
      <t>Funktion und Ergebnis der Berechnungstabelle:</t>
    </r>
    <r>
      <rPr>
        <sz val="10"/>
        <rFont val="Arial"/>
        <family val="0"/>
      </rPr>
      <t xml:space="preserve">
Die Excel-Tabelle solarstrom.xls gestattet die Berechnung der Wirtschaftlichkeit von privaten Solarstrom-Anlagen (Photovoltaik-Anlagen) unter Berücksichtigung steuerlicher Aspekte. Die Mehrwertsteuer auf die Anschaffungskosten wird rückerstattet und wird deshalb in der Rechnung als durchlaufender Posten behandelt. Als Maß für die Wirtschaftlichkeit wird die mittlere Rendite (interner Zinsfuß) angegeben. 
Die jährlichen Erträge berechnen sich aus der Differenz von Einnahmen und Ausgaben. Die Einnahmen werden aus dem Stromverkauf und den Einsparungen durch Direktverbrauch erzielt, die Ausgaben errechnen sich aus den laufenden Kosten und dem Kapitaldienst. Beim letzteren wird vereinfachend angenommen, dass das Darlehen (z.B. von der KfW) entweder am Anfang oder in der Mitte des Jahres ausbezahlt wurde, abhängig davon, ob die PV-Anlage im ersten oder im zweiten Halbjahr in Betrieb geht.</t>
    </r>
  </si>
  <si>
    <t>anteiliger Solarertrag im Jahr der Inbetriebnahme</t>
  </si>
  <si>
    <t>Direktnutzung in % des Solarertrags</t>
  </si>
  <si>
    <t xml:space="preserve">€    </t>
  </si>
  <si>
    <r>
      <t>Achtung:</t>
    </r>
    <r>
      <rPr>
        <sz val="10"/>
        <rFont val="Arial"/>
        <family val="2"/>
      </rPr>
      <t xml:space="preserve"> Das Ergebnis für den internen Zinsfuß (IRR) hängt ab vom eingesetzten Eigenkapital. In der Regel ist er höher je größer der Fremdfinanzierungsanteil ist. In einigen Fällen (z.B. wenn die Anlage weitgehend fremdfinanziert wird) führt die Berechnung des IRR auf eine Fehlermeldung (#Div/0!). Ausschlaggebend ist dann der Kapitalwert, also die Summe der abgezinsten jährlichen Erträge. Ein positiver Kapitalwert bedeutet Gewinn, ein negativer Kapitalwert Verlust.</t>
    </r>
  </si>
  <si>
    <t>Stromgestehungskosten (LCOE)</t>
  </si>
  <si>
    <t>Anfangs-Eigenkapital (incl. MwSt.)</t>
  </si>
  <si>
    <t>Batterie-</t>
  </si>
  <si>
    <t>kosten</t>
  </si>
  <si>
    <t>Steuer-</t>
  </si>
  <si>
    <t>wirkung</t>
  </si>
  <si>
    <t>Stromerlös bei Direktvermarktung</t>
  </si>
  <si>
    <t>vermarktung</t>
  </si>
  <si>
    <t>Direkt-</t>
  </si>
  <si>
    <t>zusätzl. Direktnutzung über Batteriespeicher</t>
  </si>
  <si>
    <r>
      <t xml:space="preserve">Der </t>
    </r>
    <r>
      <rPr>
        <b/>
        <sz val="10"/>
        <rFont val="Arial"/>
        <family val="2"/>
      </rPr>
      <t>Stromertrag</t>
    </r>
    <r>
      <rPr>
        <sz val="10"/>
        <rFont val="Arial"/>
        <family val="0"/>
      </rPr>
      <t xml:space="preserve"> unterliegt regionalen Unterschieden. Im Münchner Raum kann man von mindestens 950 kWh pro kWp installierter Leistung ausgehen. In den nördlicheren Regionen Deutschlands fällt der Ertrag deutlich (bis zu 20%) geringer aus.</t>
    </r>
  </si>
  <si>
    <t>Batteriespeicher (ja=1, nein=0)</t>
  </si>
  <si>
    <t>Bleibatterie=1, Li-Ionen-Batterie=2</t>
  </si>
  <si>
    <t>ab 1.4.12</t>
  </si>
  <si>
    <t>Einsparung</t>
  </si>
  <si>
    <t>Anlagenleistung (max. 1000 kWp)</t>
  </si>
  <si>
    <t>lauf. Kosten</t>
  </si>
  <si>
    <t xml:space="preserve">Ertrag </t>
  </si>
  <si>
    <t>Programm 274 bzw. 275 (mit Speicher)</t>
  </si>
  <si>
    <t>ja</t>
  </si>
  <si>
    <t>20% Sonderabschreibung?</t>
  </si>
  <si>
    <t>Degressive Abschreibung?</t>
  </si>
  <si>
    <t xml:space="preserve">     Zinsbindung (5 / 10 / 20 Jahre)</t>
  </si>
  <si>
    <t>Eigenfinanzierungsanteil</t>
  </si>
  <si>
    <t>€   entspr.</t>
  </si>
  <si>
    <t>Kosten für Batterien</t>
  </si>
  <si>
    <t>Umweltinstitut München e.V.
Landwehrstr. 64a
80336 München
Tel: 089/307749-0
www.umweltinstitut.org</t>
  </si>
  <si>
    <t>Zuschuss für Batteriesystem</t>
  </si>
  <si>
    <t>Kosten der PV-Anlage (ohne Batterien, ohne MWSt)</t>
  </si>
  <si>
    <t>Jahr der Inbetriebnahme</t>
  </si>
  <si>
    <t>Die Exceldatei solarstrom.xls wurde von Dr. Alfred Körblein im Jahr 1999 im Rahmen seiner Tätigkeit am Umweltinstitut München e.V. entwickelt. Seitdem gab es zahlreiche Updates. Kritische Kommentare und Verbesserungsvorschläge von Nutzern waren immer eine große Hilfe und sind auch weiterhin sehr willkommen.</t>
  </si>
  <si>
    <t xml:space="preserve">Die eingerahmten Felder können beliebig verändert werden. </t>
  </si>
  <si>
    <t xml:space="preserve">Die restlichen Felder sind gegen irrtümliches Überschreiben gesperrt. </t>
  </si>
  <si>
    <t>Die Inhalte dieser Felder sind lediglich Platzhalter (Anhaltswerte).</t>
  </si>
  <si>
    <t>Fragen beantwortet Franziska Buch vom Umweltinstitut München e.V., Tel. 089-307749-17, fb@umweltinstitut.org</t>
  </si>
  <si>
    <r>
      <rPr>
        <b/>
        <sz val="10"/>
        <rFont val="Arial"/>
        <family val="2"/>
      </rPr>
      <t>Anlagen mit Speichersystem:</t>
    </r>
    <r>
      <rPr>
        <sz val="10"/>
        <rFont val="Arial"/>
        <family val="2"/>
      </rPr>
      <t xml:space="preserve"> Noch ist die steuerliche Behandlung von Speichersystemen nicht geklärt. Deshalb werden solche Systeme hier als Liebhaberei angesehen. Ein Tilgungszuschuss wird vereinfachend bei den Anfangskosten berücksichtigt.</t>
    </r>
  </si>
  <si>
    <r>
      <t xml:space="preserve">Zinsgünstige KfW-Kredite: </t>
    </r>
    <r>
      <rPr>
        <sz val="10"/>
        <rFont val="Arial"/>
        <family val="2"/>
      </rPr>
      <t>Weiterhin stehen zinsvergünstigte Darlehen der Kreditanstalt für Wiederaufbau (KfW) zur Verfügung. Die Darlehen haben Laufzeiten von 5, 10 und 20 Jahren bei 1, 2 oder 3 tilgungsfreien Jahren. Die Zinsbindung beträgt 5 bzw. 10 Jahre. Die aktuellen Zinskonditionen können von der hompage der KfW heruntergeladen werden (Programmnummer 274).</t>
    </r>
  </si>
  <si>
    <t xml:space="preserve">entspricht </t>
  </si>
  <si>
    <t>€/kWh brutto</t>
  </si>
  <si>
    <t>PVGIS</t>
  </si>
  <si>
    <t>Vorlaufkosten, Zwischenfinanzierung MwSt</t>
  </si>
  <si>
    <t>Zusatzkosten für Speichersteuerung</t>
  </si>
  <si>
    <t>Gesamtkosten</t>
  </si>
  <si>
    <t>Vorgabelisten:</t>
  </si>
  <si>
    <t>LCOE=</t>
  </si>
  <si>
    <t>Blatt</t>
  </si>
  <si>
    <t>Name</t>
  </si>
  <si>
    <t>akt.Wert</t>
  </si>
  <si>
    <t>Name entspricht:</t>
  </si>
  <si>
    <t>zeige</t>
  </si>
  <si>
    <t>Info</t>
  </si>
  <si>
    <t>Formel in Zelle (engl)</t>
  </si>
  <si>
    <t>Gültigkeit</t>
  </si>
  <si>
    <t>2) Parameter</t>
  </si>
  <si>
    <t>Anlagenpreis</t>
  </si>
  <si>
    <t>&lt;---</t>
  </si>
  <si>
    <t>AnlagenpreisPV</t>
  </si>
  <si>
    <t>=Parameter!$B$20</t>
  </si>
  <si>
    <t>Auszahlung1</t>
  </si>
  <si>
    <t>BatteriespeicherJN</t>
  </si>
  <si>
    <t>=Parameter!$B$21</t>
  </si>
  <si>
    <t>Batterietyp</t>
  </si>
  <si>
    <t>=Parameter!$B$22</t>
  </si>
  <si>
    <t>BatterieVerluste</t>
  </si>
  <si>
    <t>=Parameter!$B$33</t>
  </si>
  <si>
    <t>Bereitstellung1</t>
  </si>
  <si>
    <t>=Parameter!$B$44</t>
  </si>
  <si>
    <t>=Parameter!$B$28</t>
  </si>
  <si>
    <t>DegressiveAbschreibung</t>
  </si>
  <si>
    <t>=Parameter!$B$68</t>
  </si>
  <si>
    <t>eegSatz1</t>
  </si>
  <si>
    <t>eegSatz2</t>
  </si>
  <si>
    <t>=Parameter!$B$39</t>
  </si>
  <si>
    <t>eegUmlage</t>
  </si>
  <si>
    <t>=Parameter!$E$63</t>
  </si>
  <si>
    <t>eegUmlageAnteil</t>
  </si>
  <si>
    <t>=Parameter!$B$63</t>
  </si>
  <si>
    <t>EigenkapitalZuAnfang</t>
  </si>
  <si>
    <t>=Parameter!$B$15</t>
  </si>
  <si>
    <t>EigennutzungSpeicher</t>
  </si>
  <si>
    <t>=Parameter!$B$32</t>
  </si>
  <si>
    <t>=Parameter!$B$31</t>
  </si>
  <si>
    <t>Ertragsminderung</t>
  </si>
  <si>
    <t>=Parameter!$B$30</t>
  </si>
  <si>
    <t>IBNJahr</t>
  </si>
  <si>
    <t>=Parameter!$B$34</t>
  </si>
  <si>
    <t>IBNMonat</t>
  </si>
  <si>
    <t>3) Berechnung</t>
  </si>
  <si>
    <t>InternerZinsfuss</t>
  </si>
  <si>
    <t>=Berechnung!$X$30</t>
  </si>
  <si>
    <t>=IRR(X7:X28,0)</t>
  </si>
  <si>
    <t>InternerZinsfussQ</t>
  </si>
  <si>
    <t>=Berechnung!$X$31</t>
  </si>
  <si>
    <t>Investitionsabzug</t>
  </si>
  <si>
    <t>=Parameter!$B$66</t>
  </si>
  <si>
    <t>Kredit1</t>
  </si>
  <si>
    <t>Kredit2</t>
  </si>
  <si>
    <t>=Parameter!$B$50</t>
  </si>
  <si>
    <t>=Parameter!$B$19</t>
  </si>
  <si>
    <t>Laufzeit1</t>
  </si>
  <si>
    <t>=Parameter!$B$48</t>
  </si>
  <si>
    <t>Laufzeit2</t>
  </si>
  <si>
    <t>=Parameter!$B$52</t>
  </si>
  <si>
    <t>LfdKosten</t>
  </si>
  <si>
    <t>=Parameter!$B$27</t>
  </si>
  <si>
    <t>MwSt</t>
  </si>
  <si>
    <t>Solarertrag1</t>
  </si>
  <si>
    <t>Sonderabschreibung</t>
  </si>
  <si>
    <t>Steuersatz1</t>
  </si>
  <si>
    <t>=Parameter!$B$64</t>
  </si>
  <si>
    <t>Steuersatz2</t>
  </si>
  <si>
    <t>=Parameter!$B$65</t>
  </si>
  <si>
    <t>StromerlösDirektvermarktung</t>
  </si>
  <si>
    <t>=Parameter!$B$60</t>
  </si>
  <si>
    <t>Stromertrag</t>
  </si>
  <si>
    <t>=Parameter!$B$29</t>
  </si>
  <si>
    <t>StrompreisNetto</t>
  </si>
  <si>
    <t>=Parameter!$B$59</t>
  </si>
  <si>
    <t>Tilgungsfrei1</t>
  </si>
  <si>
    <t>=Parameter!$B$49</t>
  </si>
  <si>
    <t>Tilgungsfrei2</t>
  </si>
  <si>
    <t>=Parameter!$B$53</t>
  </si>
  <si>
    <t>Vorlaufkosten</t>
  </si>
  <si>
    <t>=Parameter!$B$26</t>
  </si>
  <si>
    <t>Zinsbindung1</t>
  </si>
  <si>
    <t>=Parameter!$B$46</t>
  </si>
  <si>
    <t>Zinssatz1</t>
  </si>
  <si>
    <t>=Parameter!$B$45</t>
  </si>
  <si>
    <t>Zinssatz1NachZinsbindung</t>
  </si>
  <si>
    <t>=Parameter!$B$47</t>
  </si>
  <si>
    <t>Zinssatz2</t>
  </si>
  <si>
    <t>=Parameter!$B$51</t>
  </si>
  <si>
    <t>ZinssatzBarwert</t>
  </si>
  <si>
    <t>ZinssatzWiederanlage</t>
  </si>
  <si>
    <t>=Parameter!$B$58</t>
  </si>
  <si>
    <t>ZusatzkostenBatterie</t>
  </si>
  <si>
    <t>=Parameter!$B$24</t>
  </si>
  <si>
    <t>ZusatzkostenSteuerung</t>
  </si>
  <si>
    <t>=Parameter!$B$23</t>
  </si>
  <si>
    <t>ZuschussBatterie</t>
  </si>
  <si>
    <t>=Parameter!$B$25</t>
  </si>
  <si>
    <t>=D63*eegUmlage</t>
  </si>
  <si>
    <t>=VLOOKUP(IBNMonat,Solarertrag!C1:D12,2,TRUE)</t>
  </si>
  <si>
    <t>=3%*AnlagenpreisPV</t>
  </si>
  <si>
    <t>=Inflationsrate</t>
  </si>
  <si>
    <t>=AnlagenpreisPV+IF(BatteriespeicherJN=0,0,ZusatzkostenSteuerung+ZusatzkostenBatterie-ZuschussBatterie)</t>
  </si>
  <si>
    <t>=IF(IBNJahr=2011,IF((Eigenutzung+EigennutzungSpeicher)&lt;30%,Vergütung!A4,(30%*Vergütung!A4+(Eigenutzung+EigennutzungSpeicher-30%)*Vergütung!A5)/(Eigenutzung+EigennutzungSpeicher)),IF(IBNJahr=2012,IF(IBNMonat&lt;4,IF((Eigenutzung+EigennutzungSpeicher)&lt;30%,Vergütung!B4,(30%*Vergütung!B4+(Eigenutzung+EigennutzungSpeicher-30%)*Vergütung!B5)/(Eigenutzung+EigennutzungSpeicher)),0),IF(IBNJahr&gt;2012,0)))</t>
  </si>
  <si>
    <t>=AnlagenpreisPV*1.19+IF(BatteriespeicherJN=0,0,ZusatzkostenSteuerung+ZusatzkostenBatterie-ZuschussBatterie)-Kredit1*(Auszahlung1-Bereitstellung1)-Kredit2</t>
  </si>
  <si>
    <t>=MIRR(X7:X28,InternerZinsfuss,ZinssatzWiederanlage)</t>
  </si>
  <si>
    <t>LCOE</t>
  </si>
  <si>
    <t>=Berechnung!$AB$31</t>
  </si>
  <si>
    <t>=(AnlagenpreisPV-Kredit1+$AA$29)/$AB$29</t>
  </si>
  <si>
    <t>=Berechnung!$Y$29</t>
  </si>
  <si>
    <t>=SUM(Y7:Y28)</t>
  </si>
  <si>
    <t>Ökostromumlage</t>
  </si>
  <si>
    <t>€/kWh auf Eigenverbrauch</t>
  </si>
  <si>
    <t>=$B$72:$B$73</t>
  </si>
  <si>
    <t>=$B$73:$B$74</t>
  </si>
  <si>
    <t>=$C$72:$C$73</t>
  </si>
  <si>
    <t>=$F$72:$F$83</t>
  </si>
  <si>
    <t>=$D$72:$D$73</t>
  </si>
  <si>
    <t>ProgVersion</t>
  </si>
  <si>
    <t>=Parameter!$A$2</t>
  </si>
  <si>
    <t>7) Vergütung</t>
  </si>
  <si>
    <t>=Vergütung!$C$3</t>
  </si>
  <si>
    <t>=IF(kWp&lt;=10,0.195,IF(kWp&lt;=40,(10*0.195+(kWp-10)*0.185)/kWp,IF(kWp&lt;1000,(10*0.195+30*0.185+(kWp-40)*0.165)/kWp,(10*0.195+30*0.185+960*0.165+(kWp-1000)*0.135)/kWp)))</t>
  </si>
  <si>
    <t>=Vergütung!$D$3</t>
  </si>
  <si>
    <t>=VLOOKUP(IBNMonat,Vergütung!A10:B21,2,TRUE)</t>
  </si>
  <si>
    <t>eegSatz2011</t>
  </si>
  <si>
    <t>=Vergütung!$A$3</t>
  </si>
  <si>
    <t>=IF(kWp&lt;30,0.2874,IF(kWp&lt;100,(30*0.2874+(kWp-30)*0.2733)/kWp,IF(kWp&lt;1000,(0.2874*30+0.2733*70+(kWp-100)*0.2586)/kWp,(0.2874*30+0.2733*70+0.2586*900+0.2156*(kWp-1000))/kWp)))</t>
  </si>
  <si>
    <t>eegSatz2012</t>
  </si>
  <si>
    <t>=Vergütung!$B$3</t>
  </si>
  <si>
    <t>=0.85*eegSatz2011</t>
  </si>
  <si>
    <t>eegSatz2014</t>
  </si>
  <si>
    <t>=Vergütung!$E$3</t>
  </si>
  <si>
    <t>=VLOOKUP(IBNMonat,Vergütung!C10:D21,2,TRUE)</t>
  </si>
  <si>
    <t>=Vergütung!$F$3</t>
  </si>
  <si>
    <t>=IF(IBNJahr=2011,eegSatz2011,IF(IBNJahr=2012,IF(IBNMonat&lt;4,eegSatz2012,IF(IBNMonat&lt;11,aagSatz2012b*0.99^(IBNMonat-4),eegSatz2012b*0.99^6*0.975^(IBNMonat-10))),IF(IBNJahr=2013,eegSatz2013,IF(IBNJahr=2014,eegSatz2014,))))</t>
  </si>
  <si>
    <t>eegSatz2012b</t>
  </si>
  <si>
    <t>eegSatz2013</t>
  </si>
  <si>
    <t>Eigennutzung</t>
  </si>
  <si>
    <t>diskontiert</t>
  </si>
  <si>
    <t>(Eigennutzung brutto)</t>
  </si>
  <si>
    <t>=VLOOKUP(IBNMonat,Vergütung!E10:F21,2,TRUE)</t>
  </si>
  <si>
    <t>Einspeisung (ja / nein)</t>
  </si>
  <si>
    <t>Kleinunternehmer (ja / nein)</t>
  </si>
  <si>
    <t>laufende Kosten</t>
  </si>
  <si>
    <t>EEG-Umlage</t>
  </si>
  <si>
    <t>Gewerbebetrieb? (ja/nein)</t>
  </si>
  <si>
    <t>€ p.a.</t>
  </si>
  <si>
    <t>EEG-Einspeisevergütung</t>
  </si>
  <si>
    <t>=$E$73:$E$78</t>
  </si>
  <si>
    <t>Monat</t>
  </si>
  <si>
    <t>€/a</t>
  </si>
  <si>
    <t>Jährlicher Gesamtstromverbrauch</t>
  </si>
  <si>
    <t>Jährliche Grundgebühr Strom (netto)</t>
  </si>
  <si>
    <t>Der Blattschutz kann bei Bedarf aufgehoben werden.</t>
  </si>
  <si>
    <t>ausschließliche Direktvermarktung (ja / nein)</t>
  </si>
  <si>
    <t>Batterie-Lade/Entladeverluste (Pb)</t>
  </si>
  <si>
    <t>Batterie-Lade/Entladeverluste (Li)</t>
  </si>
  <si>
    <t>(Eigennutzung netto)</t>
  </si>
  <si>
    <t>eegSatz2016</t>
  </si>
  <si>
    <t>eegSatz2015</t>
  </si>
  <si>
    <t>eegSatz2017</t>
  </si>
  <si>
    <t>=Vergütung!$G$3</t>
  </si>
  <si>
    <t>=Vergütung!$H$3</t>
  </si>
  <si>
    <t>=VLOOKUP(IBNMonat,Vergütung!G10:H21,2,TRUE)</t>
  </si>
  <si>
    <t>=VLOOKUP(IBNMonat,Vergütung!I10:J21,2,TRUE)</t>
  </si>
  <si>
    <t>=Parameter!$B$18</t>
  </si>
  <si>
    <t>=Parameter!$B$41</t>
  </si>
  <si>
    <t>=Parameter!$B$40</t>
  </si>
  <si>
    <t>=Parameter!$B$72</t>
  </si>
  <si>
    <t>=Parameter!$B$70</t>
  </si>
  <si>
    <t>=Parameter!$B$17</t>
  </si>
  <si>
    <t>=Parameter!$B$54</t>
  </si>
  <si>
    <t>=Parameter!$D$34</t>
  </si>
  <si>
    <t>=Parameter!$B$71</t>
  </si>
  <si>
    <t>=Parameter!$B$69</t>
  </si>
  <si>
    <t>=Parameter!$B$55</t>
  </si>
  <si>
    <t>siehe:</t>
  </si>
  <si>
    <t>Konditionen</t>
  </si>
  <si>
    <t>Zuschuss</t>
  </si>
  <si>
    <t>kWh/kWpa     siehe:</t>
  </si>
  <si>
    <t>Stand: 17.11.2016</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</si>
</sst>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D_M_-;\-* #,##0.00\ _D_M_-;_-* &quot;-&quot;??\ _D_M_-;_-@_-"/>
    <numFmt numFmtId="165" formatCode="0.0000"/>
    <numFmt numFmtId="166" formatCode="0.0%"/>
    <numFmt numFmtId="167" formatCode="#,##0.0"/>
    <numFmt numFmtId="168" formatCode="#,##0.000"/>
    <numFmt numFmtId="169" formatCode="#,##0.0000"/>
    <numFmt numFmtId="170" formatCode="#,##0.00000"/>
    <numFmt numFmtId="171" formatCode="0.0"/>
    <numFmt numFmtId="172" formatCode="0.000"/>
    <numFmt numFmtId="173" formatCode="0.00000"/>
    <numFmt numFmtId="174" formatCode="_-* #,##0.0\ _D_M_-;\-* #,##0.0\ _D_M_-;_-* &quot;-&quot;??\ _D_M_-;_-@_-"/>
    <numFmt numFmtId="175" formatCode="_-* #,##0\ _D_M_-;\-* #,##0\ _D_M_-;_-* &quot;-&quot;??\ _D_M_-;_-@_-"/>
    <numFmt numFmtId="176" formatCode="0.00000000"/>
    <numFmt numFmtId="177" formatCode="0.0000000"/>
    <numFmt numFmtId="178" formatCode="0.000000"/>
  </numFmts>
  <fonts count="73">
    <font>
      <sz val="10"/>
      <name val="Arial"/>
      <family val="0"/>
    </font>
    <font>
      <sz val="11"/>
      <color indexed="8"/>
      <name val="Calibri"/>
      <family val="2"/>
    </font>
    <font>
      <b/>
      <sz val="12"/>
      <color indexed="8"/>
      <name val="Arial"/>
      <family val="2"/>
    </font>
    <font>
      <sz val="10"/>
      <color indexed="8"/>
      <name val="Arial"/>
      <family val="2"/>
    </font>
    <font>
      <b/>
      <sz val="10"/>
      <color indexed="8"/>
      <name val="Arial"/>
      <family val="2"/>
    </font>
    <font>
      <b/>
      <sz val="10"/>
      <color indexed="10"/>
      <name val="Arial"/>
      <family val="2"/>
    </font>
    <font>
      <sz val="10"/>
      <color indexed="10"/>
      <name val="Arial"/>
      <family val="2"/>
    </font>
    <font>
      <sz val="9"/>
      <color indexed="8"/>
      <name val="Arial"/>
      <family val="2"/>
    </font>
    <font>
      <u val="single"/>
      <sz val="10"/>
      <color indexed="12"/>
      <name val="Arial"/>
      <family val="2"/>
    </font>
    <font>
      <b/>
      <sz val="12"/>
      <name val="Arial"/>
      <family val="2"/>
    </font>
    <font>
      <b/>
      <sz val="9"/>
      <color indexed="8"/>
      <name val="Arial"/>
      <family val="2"/>
    </font>
    <font>
      <sz val="9"/>
      <name val="Arial"/>
      <family val="2"/>
    </font>
    <font>
      <sz val="10"/>
      <color indexed="55"/>
      <name val="Arial"/>
      <family val="2"/>
    </font>
    <font>
      <b/>
      <u val="single"/>
      <sz val="10"/>
      <color indexed="12"/>
      <name val="Arial"/>
      <family val="2"/>
    </font>
    <font>
      <b/>
      <sz val="10"/>
      <name val="Arial"/>
      <family val="2"/>
    </font>
    <font>
      <b/>
      <sz val="10"/>
      <color indexed="18"/>
      <name val="Arial"/>
      <family val="2"/>
    </font>
    <font>
      <sz val="10"/>
      <color indexed="18"/>
      <name val="Arial"/>
      <family val="2"/>
    </font>
    <font>
      <b/>
      <sz val="9"/>
      <name val="Tahoma"/>
      <family val="2"/>
    </font>
    <font>
      <sz val="10"/>
      <color indexed="23"/>
      <name val="Arial"/>
      <family val="2"/>
    </font>
    <font>
      <b/>
      <sz val="10"/>
      <color indexed="23"/>
      <name val="Arial"/>
      <family val="2"/>
    </font>
    <font>
      <sz val="9"/>
      <color indexed="23"/>
      <name val="Arial"/>
      <family val="2"/>
    </font>
    <font>
      <sz val="14"/>
      <name val="Arial"/>
      <family val="2"/>
    </font>
    <font>
      <b/>
      <sz val="11"/>
      <name val="Arial"/>
      <family val="2"/>
    </font>
    <font>
      <i/>
      <sz val="10"/>
      <name val="Arial"/>
      <family val="2"/>
    </font>
    <font>
      <b/>
      <sz val="9"/>
      <name val="Arial"/>
      <family val="2"/>
    </font>
    <font>
      <sz val="10"/>
      <color indexed="56"/>
      <name val="Arial"/>
      <family val="2"/>
    </font>
    <font>
      <sz val="10"/>
      <color indexed="53"/>
      <name val="Arial"/>
      <family val="2"/>
    </font>
    <font>
      <b/>
      <sz val="10"/>
      <color indexed="12"/>
      <name val="Arial"/>
      <family val="2"/>
    </font>
    <font>
      <sz val="9"/>
      <color indexed="12"/>
      <name val="Arial"/>
      <family val="2"/>
    </font>
    <font>
      <sz val="10"/>
      <color indexed="12"/>
      <name val="Arial"/>
      <family val="2"/>
    </font>
    <font>
      <sz val="9"/>
      <name val="Tahoma"/>
      <family val="2"/>
    </font>
    <font>
      <b/>
      <sz val="9"/>
      <color indexed="8"/>
      <name val="Tahoma"/>
      <family val="2"/>
    </font>
    <font>
      <sz val="9"/>
      <color indexed="8"/>
      <name val="Tahoma"/>
      <family val="2"/>
    </font>
    <font>
      <sz val="8"/>
      <color indexed="8"/>
      <name val="Arial"/>
      <family val="0"/>
    </font>
    <font>
      <sz val="9.5"/>
      <color indexed="8"/>
      <name val="Arial"/>
      <family val="0"/>
    </font>
    <font>
      <sz val="11"/>
      <color indexed="9"/>
      <name val="Calibri"/>
      <family val="2"/>
    </font>
    <font>
      <b/>
      <sz val="11"/>
      <color indexed="63"/>
      <name val="Calibri"/>
      <family val="2"/>
    </font>
    <font>
      <b/>
      <sz val="11"/>
      <color indexed="10"/>
      <name val="Calibri"/>
      <family val="2"/>
    </font>
    <font>
      <u val="single"/>
      <sz val="10"/>
      <color indexed="20"/>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8"/>
      <name val="Segoe UI"/>
      <family val="2"/>
    </font>
    <font>
      <sz val="11.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0" fontId="57" fillId="0" borderId="0" applyNumberFormat="0" applyFill="0" applyBorder="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223">
    <xf numFmtId="0" fontId="0" fillId="0" borderId="0" xfId="0" applyAlignment="1">
      <alignment/>
    </xf>
    <xf numFmtId="0" fontId="0" fillId="0" borderId="0" xfId="0" applyAlignment="1">
      <alignment wrapText="1"/>
    </xf>
    <xf numFmtId="0" fontId="11" fillId="0" borderId="0" xfId="0" applyFont="1" applyAlignment="1">
      <alignment/>
    </xf>
    <xf numFmtId="3" fontId="11" fillId="0" borderId="0" xfId="0" applyNumberFormat="1" applyFont="1" applyAlignment="1">
      <alignment/>
    </xf>
    <xf numFmtId="3" fontId="11" fillId="0" borderId="0" xfId="0" applyNumberFormat="1" applyFont="1" applyAlignment="1">
      <alignment horizontal="right"/>
    </xf>
    <xf numFmtId="3" fontId="0" fillId="0" borderId="0" xfId="0" applyNumberFormat="1" applyAlignment="1">
      <alignment/>
    </xf>
    <xf numFmtId="0" fontId="14" fillId="0" borderId="0" xfId="0" applyFont="1" applyAlignment="1">
      <alignment wrapText="1"/>
    </xf>
    <xf numFmtId="3" fontId="4" fillId="0" borderId="0" xfId="0" applyNumberFormat="1" applyFont="1" applyAlignment="1">
      <alignment/>
    </xf>
    <xf numFmtId="3" fontId="4" fillId="0" borderId="0" xfId="0" applyNumberFormat="1" applyFont="1" applyAlignment="1">
      <alignment horizontal="right"/>
    </xf>
    <xf numFmtId="4" fontId="4"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horizontal="right"/>
    </xf>
    <xf numFmtId="4" fontId="3" fillId="0" borderId="0" xfId="0" applyNumberFormat="1" applyFont="1" applyAlignment="1">
      <alignment horizontal="center"/>
    </xf>
    <xf numFmtId="0" fontId="0" fillId="0" borderId="0" xfId="0" applyFont="1" applyAlignment="1">
      <alignment/>
    </xf>
    <xf numFmtId="166" fontId="0" fillId="0" borderId="0" xfId="0" applyNumberFormat="1" applyFont="1" applyAlignment="1">
      <alignment/>
    </xf>
    <xf numFmtId="166" fontId="0" fillId="0" borderId="10" xfId="0" applyNumberFormat="1" applyFont="1" applyBorder="1" applyAlignment="1">
      <alignment/>
    </xf>
    <xf numFmtId="3" fontId="18" fillId="0" borderId="0" xfId="0" applyNumberFormat="1" applyFont="1" applyAlignment="1">
      <alignment/>
    </xf>
    <xf numFmtId="3" fontId="18" fillId="0" borderId="0" xfId="0" applyNumberFormat="1" applyFont="1" applyAlignment="1">
      <alignment horizontal="right"/>
    </xf>
    <xf numFmtId="3" fontId="20" fillId="0" borderId="0" xfId="0" applyNumberFormat="1" applyFont="1" applyAlignment="1">
      <alignment/>
    </xf>
    <xf numFmtId="0" fontId="21" fillId="0" borderId="0" xfId="0" applyFont="1" applyFill="1" applyAlignment="1">
      <alignment/>
    </xf>
    <xf numFmtId="0" fontId="14" fillId="0" borderId="0" xfId="0" applyFont="1" applyFill="1" applyBorder="1" applyAlignment="1">
      <alignment wrapText="1"/>
    </xf>
    <xf numFmtId="0" fontId="0" fillId="0" borderId="0" xfId="0" applyFont="1" applyFill="1" applyAlignment="1">
      <alignment/>
    </xf>
    <xf numFmtId="4" fontId="3" fillId="0" borderId="0" xfId="0" applyNumberFormat="1" applyFont="1" applyFill="1" applyAlignment="1">
      <alignment horizontal="right"/>
    </xf>
    <xf numFmtId="4" fontId="3" fillId="0" borderId="0" xfId="0" applyNumberFormat="1" applyFont="1" applyFill="1" applyAlignment="1">
      <alignment horizontal="center"/>
    </xf>
    <xf numFmtId="0" fontId="14" fillId="0" borderId="0" xfId="0" applyFont="1" applyFill="1" applyBorder="1" applyAlignment="1">
      <alignment horizontal="right" wrapText="1"/>
    </xf>
    <xf numFmtId="3" fontId="13" fillId="0" borderId="0" xfId="48" applyNumberFormat="1" applyFont="1" applyFill="1" applyBorder="1" applyAlignment="1" applyProtection="1">
      <alignment horizontal="left" wrapText="1"/>
      <protection/>
    </xf>
    <xf numFmtId="0" fontId="0" fillId="0" borderId="0" xfId="0" applyFill="1" applyAlignment="1">
      <alignment/>
    </xf>
    <xf numFmtId="0" fontId="14" fillId="0" borderId="0" xfId="0" applyFont="1" applyAlignment="1">
      <alignment/>
    </xf>
    <xf numFmtId="0" fontId="0" fillId="0" borderId="0" xfId="0" applyBorder="1" applyAlignment="1">
      <alignment wrapText="1"/>
    </xf>
    <xf numFmtId="0" fontId="14" fillId="0" borderId="11" xfId="0" applyFont="1" applyBorder="1" applyAlignment="1">
      <alignment horizontal="justify" wrapText="1"/>
    </xf>
    <xf numFmtId="0" fontId="0" fillId="0" borderId="11" xfId="0" applyFont="1" applyBorder="1" applyAlignment="1">
      <alignment horizontal="left" wrapText="1"/>
    </xf>
    <xf numFmtId="0" fontId="14" fillId="0" borderId="11" xfId="0" applyFont="1" applyBorder="1" applyAlignment="1">
      <alignment horizontal="left" wrapText="1"/>
    </xf>
    <xf numFmtId="0" fontId="0" fillId="0" borderId="11" xfId="0" applyBorder="1" applyAlignment="1">
      <alignment horizontal="left" wrapText="1"/>
    </xf>
    <xf numFmtId="0" fontId="14" fillId="0" borderId="11" xfId="0" applyFont="1" applyFill="1" applyBorder="1" applyAlignment="1">
      <alignment horizontal="left" wrapText="1"/>
    </xf>
    <xf numFmtId="0" fontId="23" fillId="0" borderId="0" xfId="0" applyFont="1" applyBorder="1" applyAlignment="1">
      <alignment horizontal="left" wrapText="1"/>
    </xf>
    <xf numFmtId="3" fontId="3" fillId="33" borderId="11" xfId="0" applyNumberFormat="1" applyFont="1" applyFill="1" applyBorder="1" applyAlignment="1" applyProtection="1">
      <alignment horizontal="right"/>
      <protection locked="0"/>
    </xf>
    <xf numFmtId="166" fontId="3" fillId="33" borderId="11" xfId="51" applyNumberFormat="1" applyFont="1" applyFill="1" applyBorder="1" applyAlignment="1" applyProtection="1">
      <alignment horizontal="right"/>
      <protection locked="0"/>
    </xf>
    <xf numFmtId="10" fontId="3" fillId="33" borderId="11" xfId="51" applyNumberFormat="1" applyFont="1" applyFill="1" applyBorder="1" applyAlignment="1" applyProtection="1">
      <alignment horizontal="right"/>
      <protection locked="0"/>
    </xf>
    <xf numFmtId="9" fontId="3" fillId="33" borderId="11" xfId="51" applyNumberFormat="1" applyFont="1" applyFill="1" applyBorder="1" applyAlignment="1" applyProtection="1">
      <alignment horizontal="right"/>
      <protection locked="0"/>
    </xf>
    <xf numFmtId="9" fontId="3" fillId="33" borderId="11" xfId="51" applyFont="1" applyFill="1" applyBorder="1" applyAlignment="1" applyProtection="1">
      <alignment horizontal="right"/>
      <protection locked="0"/>
    </xf>
    <xf numFmtId="1" fontId="3" fillId="33" borderId="11" xfId="51" applyNumberFormat="1" applyFont="1" applyFill="1" applyBorder="1" applyAlignment="1" applyProtection="1">
      <alignment horizontal="right"/>
      <protection locked="0"/>
    </xf>
    <xf numFmtId="169" fontId="3" fillId="33" borderId="11" xfId="0" applyNumberFormat="1" applyFont="1" applyFill="1" applyBorder="1" applyAlignment="1" applyProtection="1">
      <alignment horizontal="right"/>
      <protection locked="0"/>
    </xf>
    <xf numFmtId="165" fontId="0" fillId="0" borderId="0" xfId="0" applyNumberFormat="1" applyAlignment="1">
      <alignment/>
    </xf>
    <xf numFmtId="165" fontId="25" fillId="0" borderId="0" xfId="0" applyNumberFormat="1" applyFont="1" applyAlignment="1">
      <alignment/>
    </xf>
    <xf numFmtId="165" fontId="26" fillId="0" borderId="0" xfId="0" applyNumberFormat="1" applyFont="1" applyAlignment="1">
      <alignment/>
    </xf>
    <xf numFmtId="165" fontId="6" fillId="0" borderId="0" xfId="0" applyNumberFormat="1" applyFont="1" applyAlignment="1">
      <alignment/>
    </xf>
    <xf numFmtId="166" fontId="0" fillId="0" borderId="0" xfId="51" applyNumberFormat="1" applyFont="1" applyAlignment="1">
      <alignment/>
    </xf>
    <xf numFmtId="1" fontId="3" fillId="0" borderId="0" xfId="0" applyNumberFormat="1" applyFont="1" applyAlignment="1">
      <alignment horizontal="right"/>
    </xf>
    <xf numFmtId="4" fontId="18" fillId="33" borderId="0" xfId="0" applyNumberFormat="1" applyFont="1" applyFill="1" applyAlignment="1" applyProtection="1">
      <alignment horizontal="center"/>
      <protection/>
    </xf>
    <xf numFmtId="3" fontId="18" fillId="33" borderId="0" xfId="0" applyNumberFormat="1" applyFont="1" applyFill="1" applyAlignment="1" applyProtection="1">
      <alignment horizontal="center"/>
      <protection/>
    </xf>
    <xf numFmtId="4" fontId="7" fillId="33" borderId="0" xfId="0" applyNumberFormat="1" applyFont="1" applyFill="1" applyAlignment="1" applyProtection="1">
      <alignment horizontal="right"/>
      <protection/>
    </xf>
    <xf numFmtId="4" fontId="7" fillId="33" borderId="0" xfId="0" applyNumberFormat="1" applyFont="1" applyFill="1" applyAlignment="1" applyProtection="1">
      <alignment horizontal="center"/>
      <protection/>
    </xf>
    <xf numFmtId="4" fontId="3" fillId="33" borderId="0" xfId="0" applyNumberFormat="1" applyFont="1" applyFill="1" applyAlignment="1" applyProtection="1">
      <alignment horizontal="center"/>
      <protection/>
    </xf>
    <xf numFmtId="0" fontId="9" fillId="33" borderId="0" xfId="0" applyFont="1" applyFill="1" applyAlignment="1">
      <alignment/>
    </xf>
    <xf numFmtId="0" fontId="14" fillId="33" borderId="0" xfId="0" applyFont="1" applyFill="1" applyAlignment="1">
      <alignment/>
    </xf>
    <xf numFmtId="0" fontId="0" fillId="33" borderId="0" xfId="0" applyFont="1" applyFill="1" applyAlignment="1">
      <alignment/>
    </xf>
    <xf numFmtId="0" fontId="18" fillId="33" borderId="0" xfId="0" applyFont="1" applyFill="1" applyAlignment="1">
      <alignment/>
    </xf>
    <xf numFmtId="4" fontId="3" fillId="33" borderId="0" xfId="0" applyNumberFormat="1" applyFont="1" applyFill="1" applyAlignment="1">
      <alignment horizontal="right"/>
    </xf>
    <xf numFmtId="4" fontId="18" fillId="33" borderId="0" xfId="0" applyNumberFormat="1" applyFont="1" applyFill="1" applyAlignment="1">
      <alignment horizontal="right"/>
    </xf>
    <xf numFmtId="4" fontId="3" fillId="33" borderId="0" xfId="0" applyNumberFormat="1" applyFont="1" applyFill="1" applyAlignment="1">
      <alignment horizontal="center"/>
    </xf>
    <xf numFmtId="3" fontId="3" fillId="33" borderId="0" xfId="0" applyNumberFormat="1" applyFont="1" applyFill="1" applyAlignment="1">
      <alignment horizontal="center"/>
    </xf>
    <xf numFmtId="0" fontId="23" fillId="0" borderId="0" xfId="0" applyNumberFormat="1" applyFont="1" applyBorder="1" applyAlignment="1">
      <alignment horizontal="left" wrapText="1"/>
    </xf>
    <xf numFmtId="0" fontId="9" fillId="33" borderId="0" xfId="0" applyFont="1" applyFill="1" applyAlignment="1" applyProtection="1">
      <alignment/>
      <protection/>
    </xf>
    <xf numFmtId="0" fontId="9" fillId="33" borderId="0" xfId="0" applyFont="1" applyFill="1" applyAlignment="1" applyProtection="1">
      <alignment horizontal="right"/>
      <protection/>
    </xf>
    <xf numFmtId="4" fontId="2" fillId="33" borderId="0" xfId="0" applyNumberFormat="1" applyFont="1" applyFill="1" applyAlignment="1" applyProtection="1">
      <alignment horizontal="right"/>
      <protection/>
    </xf>
    <xf numFmtId="4" fontId="2" fillId="33" borderId="0" xfId="0" applyNumberFormat="1" applyFont="1" applyFill="1" applyAlignment="1" applyProtection="1">
      <alignment horizontal="center"/>
      <protection/>
    </xf>
    <xf numFmtId="0" fontId="14" fillId="33" borderId="0" xfId="0" applyFont="1" applyFill="1" applyAlignment="1" applyProtection="1">
      <alignment/>
      <protection/>
    </xf>
    <xf numFmtId="0" fontId="14" fillId="33" borderId="0" xfId="0" applyFont="1" applyFill="1" applyAlignment="1" applyProtection="1">
      <alignment horizontal="right"/>
      <protection/>
    </xf>
    <xf numFmtId="4" fontId="10" fillId="33" borderId="0" xfId="0" applyNumberFormat="1" applyFont="1" applyFill="1" applyAlignment="1" applyProtection="1">
      <alignment horizontal="right"/>
      <protection/>
    </xf>
    <xf numFmtId="4" fontId="10" fillId="33" borderId="0" xfId="0" applyNumberFormat="1" applyFont="1" applyFill="1" applyAlignment="1" applyProtection="1">
      <alignment horizontal="center"/>
      <protection/>
    </xf>
    <xf numFmtId="0" fontId="0" fillId="33" borderId="0" xfId="0" applyFill="1" applyAlignment="1" applyProtection="1">
      <alignment horizontal="right"/>
      <protection/>
    </xf>
    <xf numFmtId="0" fontId="0" fillId="33" borderId="0" xfId="0" applyFill="1" applyAlignment="1" applyProtection="1">
      <alignment/>
      <protection/>
    </xf>
    <xf numFmtId="4" fontId="20" fillId="33" borderId="0" xfId="0" applyNumberFormat="1" applyFont="1" applyFill="1" applyAlignment="1" applyProtection="1">
      <alignment horizontal="right"/>
      <protection/>
    </xf>
    <xf numFmtId="4" fontId="20" fillId="33" borderId="0" xfId="0" applyNumberFormat="1" applyFont="1" applyFill="1" applyAlignment="1" applyProtection="1">
      <alignment horizontal="center"/>
      <protection/>
    </xf>
    <xf numFmtId="3" fontId="15" fillId="33" borderId="0" xfId="0" applyNumberFormat="1" applyFont="1" applyFill="1" applyAlignment="1" applyProtection="1">
      <alignment horizontal="left"/>
      <protection/>
    </xf>
    <xf numFmtId="3" fontId="16" fillId="33" borderId="0" xfId="0" applyNumberFormat="1" applyFont="1" applyFill="1" applyAlignment="1" applyProtection="1">
      <alignment horizontal="right"/>
      <protection/>
    </xf>
    <xf numFmtId="3" fontId="16" fillId="33" borderId="0" xfId="0" applyNumberFormat="1" applyFont="1" applyFill="1" applyAlignment="1" applyProtection="1">
      <alignment horizontal="left"/>
      <protection/>
    </xf>
    <xf numFmtId="4" fontId="16" fillId="33" borderId="0" xfId="0" applyNumberFormat="1" applyFont="1" applyFill="1" applyAlignment="1" applyProtection="1">
      <alignment horizontal="right"/>
      <protection/>
    </xf>
    <xf numFmtId="4" fontId="16" fillId="33" borderId="0" xfId="0" applyNumberFormat="1" applyFont="1" applyFill="1" applyAlignment="1" applyProtection="1">
      <alignment horizontal="center"/>
      <protection/>
    </xf>
    <xf numFmtId="3" fontId="4" fillId="33" borderId="0" xfId="0" applyNumberFormat="1" applyFont="1" applyFill="1" applyAlignment="1" applyProtection="1">
      <alignment horizontal="left"/>
      <protection/>
    </xf>
    <xf numFmtId="4" fontId="6" fillId="33" borderId="0" xfId="0" applyNumberFormat="1" applyFont="1" applyFill="1" applyAlignment="1" applyProtection="1">
      <alignment horizontal="right"/>
      <protection/>
    </xf>
    <xf numFmtId="4" fontId="6" fillId="33" borderId="0" xfId="0" applyNumberFormat="1" applyFont="1" applyFill="1" applyAlignment="1" applyProtection="1">
      <alignment horizontal="center"/>
      <protection/>
    </xf>
    <xf numFmtId="4" fontId="4" fillId="33" borderId="0" xfId="0" applyNumberFormat="1" applyFont="1" applyFill="1" applyAlignment="1" applyProtection="1">
      <alignment horizontal="left"/>
      <protection/>
    </xf>
    <xf numFmtId="4" fontId="10" fillId="33" borderId="0" xfId="0" applyNumberFormat="1" applyFont="1" applyFill="1" applyAlignment="1" applyProtection="1">
      <alignment horizontal="left"/>
      <protection/>
    </xf>
    <xf numFmtId="3" fontId="4" fillId="33" borderId="0" xfId="51" applyNumberFormat="1" applyFont="1" applyFill="1" applyAlignment="1" applyProtection="1">
      <alignment horizontal="right"/>
      <protection/>
    </xf>
    <xf numFmtId="4" fontId="4" fillId="33" borderId="0" xfId="0" applyNumberFormat="1" applyFont="1" applyFill="1" applyAlignment="1" applyProtection="1">
      <alignment horizontal="right"/>
      <protection/>
    </xf>
    <xf numFmtId="4" fontId="4" fillId="33" borderId="0" xfId="0" applyNumberFormat="1" applyFont="1" applyFill="1" applyAlignment="1" applyProtection="1">
      <alignment horizontal="center"/>
      <protection/>
    </xf>
    <xf numFmtId="3" fontId="3" fillId="33" borderId="0" xfId="0" applyNumberFormat="1" applyFont="1" applyFill="1" applyAlignment="1" applyProtection="1">
      <alignment horizontal="left"/>
      <protection/>
    </xf>
    <xf numFmtId="4" fontId="3" fillId="33" borderId="0" xfId="0" applyNumberFormat="1" applyFont="1" applyFill="1" applyAlignment="1" applyProtection="1">
      <alignment horizontal="left"/>
      <protection/>
    </xf>
    <xf numFmtId="4" fontId="3" fillId="33" borderId="0" xfId="0" applyNumberFormat="1" applyFont="1" applyFill="1" applyAlignment="1" applyProtection="1">
      <alignment horizontal="right"/>
      <protection/>
    </xf>
    <xf numFmtId="4" fontId="3" fillId="33" borderId="0" xfId="0" applyNumberFormat="1" applyFont="1" applyFill="1" applyAlignment="1" applyProtection="1">
      <alignment/>
      <protection/>
    </xf>
    <xf numFmtId="4" fontId="6" fillId="33" borderId="0" xfId="0" applyNumberFormat="1" applyFont="1" applyFill="1" applyAlignment="1" applyProtection="1">
      <alignment horizontal="left"/>
      <protection/>
    </xf>
    <xf numFmtId="4" fontId="6" fillId="33" borderId="0" xfId="0" applyNumberFormat="1" applyFont="1" applyFill="1" applyAlignment="1" applyProtection="1">
      <alignment horizontal="center"/>
      <protection/>
    </xf>
    <xf numFmtId="3" fontId="3" fillId="33" borderId="0" xfId="0" applyNumberFormat="1" applyFont="1" applyFill="1" applyAlignment="1" applyProtection="1">
      <alignment horizontal="right"/>
      <protection/>
    </xf>
    <xf numFmtId="4" fontId="6" fillId="33" borderId="0" xfId="0" applyNumberFormat="1" applyFont="1" applyFill="1" applyAlignment="1" applyProtection="1">
      <alignment horizontal="left"/>
      <protection/>
    </xf>
    <xf numFmtId="166" fontId="3" fillId="33" borderId="0" xfId="0" applyNumberFormat="1" applyFont="1" applyFill="1" applyAlignment="1">
      <alignment horizontal="right"/>
    </xf>
    <xf numFmtId="169" fontId="3" fillId="33" borderId="0" xfId="0" applyNumberFormat="1" applyFont="1" applyFill="1" applyAlignment="1" applyProtection="1">
      <alignment horizontal="right"/>
      <protection/>
    </xf>
    <xf numFmtId="169" fontId="12" fillId="33" borderId="0" xfId="0" applyNumberFormat="1" applyFont="1" applyFill="1" applyAlignment="1" applyProtection="1">
      <alignment horizontal="right"/>
      <protection/>
    </xf>
    <xf numFmtId="3" fontId="7" fillId="33" borderId="0" xfId="0" applyNumberFormat="1" applyFont="1" applyFill="1" applyAlignment="1" applyProtection="1">
      <alignment horizontal="left"/>
      <protection/>
    </xf>
    <xf numFmtId="4" fontId="8" fillId="33" borderId="0" xfId="48" applyNumberFormat="1" applyFill="1" applyAlignment="1" applyProtection="1">
      <alignment horizontal="left"/>
      <protection/>
    </xf>
    <xf numFmtId="4" fontId="7" fillId="33" borderId="0" xfId="0" applyNumberFormat="1" applyFont="1" applyFill="1" applyAlignment="1" applyProtection="1">
      <alignment horizontal="left"/>
      <protection/>
    </xf>
    <xf numFmtId="4" fontId="20" fillId="33" borderId="0" xfId="0" applyNumberFormat="1" applyFont="1" applyFill="1" applyAlignment="1" applyProtection="1">
      <alignment horizontal="left"/>
      <protection/>
    </xf>
    <xf numFmtId="166" fontId="5" fillId="33" borderId="0" xfId="51" applyNumberFormat="1" applyFont="1" applyFill="1" applyBorder="1" applyAlignment="1" applyProtection="1">
      <alignment horizontal="right"/>
      <protection/>
    </xf>
    <xf numFmtId="168" fontId="4" fillId="33" borderId="0" xfId="51" applyNumberFormat="1" applyFont="1" applyFill="1" applyBorder="1" applyAlignment="1" applyProtection="1">
      <alignment horizontal="right"/>
      <protection/>
    </xf>
    <xf numFmtId="3" fontId="4" fillId="33" borderId="0" xfId="51" applyNumberFormat="1" applyFont="1" applyFill="1" applyBorder="1" applyAlignment="1" applyProtection="1">
      <alignment horizontal="right"/>
      <protection/>
    </xf>
    <xf numFmtId="0" fontId="0" fillId="0" borderId="0" xfId="0" applyAlignment="1">
      <alignment horizontal="right"/>
    </xf>
    <xf numFmtId="165" fontId="0" fillId="0" borderId="0" xfId="0" applyNumberFormat="1" applyAlignment="1">
      <alignment horizontal="right"/>
    </xf>
    <xf numFmtId="4" fontId="18" fillId="34" borderId="0" xfId="0" applyNumberFormat="1" applyFont="1" applyFill="1" applyAlignment="1" applyProtection="1">
      <alignment horizontal="left"/>
      <protection/>
    </xf>
    <xf numFmtId="4" fontId="7" fillId="34" borderId="0" xfId="0" applyNumberFormat="1" applyFont="1" applyFill="1" applyAlignment="1" applyProtection="1">
      <alignment horizontal="right"/>
      <protection/>
    </xf>
    <xf numFmtId="0" fontId="14" fillId="0" borderId="0" xfId="0" applyFont="1" applyAlignment="1">
      <alignment/>
    </xf>
    <xf numFmtId="3" fontId="14" fillId="0" borderId="0" xfId="0" applyNumberFormat="1" applyFont="1" applyAlignment="1">
      <alignment/>
    </xf>
    <xf numFmtId="3" fontId="19" fillId="0" borderId="0" xfId="0" applyNumberFormat="1" applyFont="1" applyAlignment="1">
      <alignment/>
    </xf>
    <xf numFmtId="3" fontId="14" fillId="0" borderId="0" xfId="0" applyNumberFormat="1" applyFont="1" applyAlignment="1">
      <alignment horizontal="right"/>
    </xf>
    <xf numFmtId="0" fontId="19" fillId="33" borderId="0" xfId="0" applyFont="1" applyFill="1" applyAlignment="1">
      <alignment/>
    </xf>
    <xf numFmtId="4" fontId="4" fillId="33" borderId="0" xfId="0" applyNumberFormat="1" applyFont="1" applyFill="1" applyAlignment="1">
      <alignment horizontal="right"/>
    </xf>
    <xf numFmtId="4" fontId="19" fillId="33" borderId="0" xfId="0" applyNumberFormat="1" applyFont="1" applyFill="1" applyAlignment="1">
      <alignment horizontal="right"/>
    </xf>
    <xf numFmtId="4" fontId="4" fillId="33" borderId="0" xfId="0" applyNumberFormat="1" applyFont="1" applyFill="1" applyAlignment="1">
      <alignment horizontal="center"/>
    </xf>
    <xf numFmtId="3" fontId="4" fillId="33" borderId="0" xfId="0" applyNumberFormat="1" applyFont="1" applyFill="1" applyAlignment="1">
      <alignment horizontal="center"/>
    </xf>
    <xf numFmtId="3" fontId="3" fillId="33" borderId="0" xfId="0" applyNumberFormat="1" applyFont="1" applyFill="1" applyBorder="1" applyAlignment="1" applyProtection="1">
      <alignment horizontal="right"/>
      <protection/>
    </xf>
    <xf numFmtId="4" fontId="2" fillId="34" borderId="0" xfId="0" applyNumberFormat="1" applyFont="1" applyFill="1" applyAlignment="1" applyProtection="1">
      <alignment horizontal="center"/>
      <protection/>
    </xf>
    <xf numFmtId="0" fontId="11" fillId="0" borderId="0" xfId="0" applyFont="1" applyFill="1" applyBorder="1" applyAlignment="1">
      <alignment/>
    </xf>
    <xf numFmtId="0" fontId="14" fillId="0" borderId="0" xfId="0" applyFont="1" applyFill="1" applyBorder="1" applyAlignment="1">
      <alignment/>
    </xf>
    <xf numFmtId="3" fontId="11" fillId="0" borderId="0" xfId="0" applyNumberFormat="1" applyFont="1" applyFill="1" applyBorder="1" applyAlignment="1">
      <alignment/>
    </xf>
    <xf numFmtId="4" fontId="14" fillId="0" borderId="0" xfId="0" applyNumberFormat="1" applyFont="1" applyFill="1" applyBorder="1" applyAlignment="1">
      <alignment horizontal="center"/>
    </xf>
    <xf numFmtId="4" fontId="0" fillId="0" borderId="0" xfId="0" applyNumberFormat="1" applyFont="1" applyFill="1" applyBorder="1" applyAlignment="1">
      <alignment horizontal="center"/>
    </xf>
    <xf numFmtId="4" fontId="14" fillId="0" borderId="0" xfId="0" applyNumberFormat="1" applyFont="1" applyFill="1" applyBorder="1" applyAlignment="1">
      <alignment/>
    </xf>
    <xf numFmtId="4" fontId="14" fillId="0" borderId="0" xfId="0" applyNumberFormat="1" applyFont="1" applyFill="1" applyBorder="1" applyAlignment="1">
      <alignment horizontal="left"/>
    </xf>
    <xf numFmtId="169" fontId="4" fillId="0" borderId="10" xfId="0" applyNumberFormat="1" applyFont="1" applyFill="1" applyBorder="1" applyAlignment="1" applyProtection="1">
      <alignment horizontal="right"/>
      <protection/>
    </xf>
    <xf numFmtId="3" fontId="18" fillId="0" borderId="10" xfId="0" applyNumberFormat="1" applyFont="1" applyBorder="1" applyAlignment="1">
      <alignment/>
    </xf>
    <xf numFmtId="3" fontId="3" fillId="0" borderId="10" xfId="0" applyNumberFormat="1" applyFont="1" applyBorder="1" applyAlignment="1">
      <alignment horizontal="right"/>
    </xf>
    <xf numFmtId="1" fontId="3" fillId="0" borderId="10" xfId="0" applyNumberFormat="1" applyFont="1" applyBorder="1" applyAlignment="1">
      <alignment horizontal="right"/>
    </xf>
    <xf numFmtId="3" fontId="18" fillId="0" borderId="10" xfId="0" applyNumberFormat="1" applyFont="1" applyBorder="1" applyAlignment="1">
      <alignment horizontal="right"/>
    </xf>
    <xf numFmtId="3" fontId="3" fillId="0" borderId="10" xfId="0" applyNumberFormat="1" applyFont="1" applyBorder="1" applyAlignment="1">
      <alignment/>
    </xf>
    <xf numFmtId="9" fontId="18" fillId="0" borderId="0" xfId="51" applyFont="1" applyAlignment="1">
      <alignment/>
    </xf>
    <xf numFmtId="0" fontId="0" fillId="0" borderId="0" xfId="0" applyFont="1" applyAlignment="1">
      <alignment/>
    </xf>
    <xf numFmtId="3" fontId="0" fillId="0" borderId="0" xfId="0" applyNumberFormat="1" applyFont="1" applyAlignment="1">
      <alignment/>
    </xf>
    <xf numFmtId="3" fontId="18"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horizontal="right"/>
    </xf>
    <xf numFmtId="166" fontId="0" fillId="0" borderId="0" xfId="51" applyNumberFormat="1" applyFont="1" applyAlignment="1">
      <alignment/>
    </xf>
    <xf numFmtId="3" fontId="0" fillId="0" borderId="0" xfId="0" applyNumberFormat="1" applyFont="1" applyBorder="1" applyAlignment="1">
      <alignment/>
    </xf>
    <xf numFmtId="0" fontId="0" fillId="0" borderId="0" xfId="0" applyFont="1" applyFill="1" applyBorder="1" applyAlignment="1">
      <alignment/>
    </xf>
    <xf numFmtId="0" fontId="0" fillId="0" borderId="10" xfId="0" applyFont="1" applyBorder="1" applyAlignment="1">
      <alignment/>
    </xf>
    <xf numFmtId="3" fontId="0" fillId="0" borderId="10" xfId="0" applyNumberFormat="1" applyFont="1" applyBorder="1" applyAlignment="1">
      <alignment/>
    </xf>
    <xf numFmtId="3" fontId="18" fillId="0" borderId="10" xfId="0" applyNumberFormat="1" applyFont="1" applyBorder="1" applyAlignment="1">
      <alignment/>
    </xf>
    <xf numFmtId="3" fontId="0" fillId="0" borderId="10" xfId="0" applyNumberFormat="1" applyFont="1" applyBorder="1" applyAlignment="1">
      <alignment horizontal="right"/>
    </xf>
    <xf numFmtId="166" fontId="0" fillId="0" borderId="10" xfId="51" applyNumberFormat="1" applyFont="1" applyBorder="1" applyAlignment="1">
      <alignment/>
    </xf>
    <xf numFmtId="0" fontId="14" fillId="35" borderId="0" xfId="0" applyNumberFormat="1" applyFont="1" applyFill="1" applyAlignment="1">
      <alignment vertical="top" wrapText="1"/>
    </xf>
    <xf numFmtId="0" fontId="13" fillId="35" borderId="0" xfId="48" applyFont="1" applyFill="1" applyAlignment="1" applyProtection="1">
      <alignment vertical="top" wrapText="1"/>
      <protection/>
    </xf>
    <xf numFmtId="0" fontId="14" fillId="35" borderId="0" xfId="0" applyFont="1" applyFill="1" applyAlignment="1">
      <alignment vertical="top" wrapText="1"/>
    </xf>
    <xf numFmtId="0" fontId="0" fillId="0" borderId="0" xfId="0" applyNumberFormat="1" applyAlignment="1">
      <alignment vertical="top" wrapText="1"/>
    </xf>
    <xf numFmtId="3" fontId="0" fillId="0" borderId="0" xfId="0" applyNumberFormat="1" applyAlignment="1">
      <alignment vertical="top" wrapText="1"/>
    </xf>
    <xf numFmtId="0" fontId="0" fillId="0" borderId="0" xfId="0" applyNumberFormat="1" applyAlignment="1" quotePrefix="1">
      <alignment vertical="top" wrapText="1"/>
    </xf>
    <xf numFmtId="0" fontId="8" fillId="0" borderId="0" xfId="48" applyNumberFormat="1" applyAlignment="1" applyProtection="1" quotePrefix="1">
      <alignment vertical="top" wrapText="1"/>
      <protection/>
    </xf>
    <xf numFmtId="0" fontId="0" fillId="0" borderId="0" xfId="0" applyAlignment="1" quotePrefix="1">
      <alignment vertical="top" wrapText="1"/>
    </xf>
    <xf numFmtId="0" fontId="0" fillId="0" borderId="0" xfId="0" applyAlignment="1">
      <alignment vertical="top" wrapText="1"/>
    </xf>
    <xf numFmtId="9" fontId="0" fillId="0" borderId="0" xfId="0" applyNumberFormat="1" applyAlignment="1">
      <alignment vertical="top" wrapText="1"/>
    </xf>
    <xf numFmtId="10" fontId="0" fillId="0" borderId="0" xfId="0" applyNumberFormat="1" applyAlignment="1">
      <alignment vertical="top" wrapText="1"/>
    </xf>
    <xf numFmtId="1" fontId="0" fillId="0" borderId="0" xfId="0" applyNumberFormat="1" applyAlignment="1">
      <alignment vertical="top" wrapText="1"/>
    </xf>
    <xf numFmtId="3" fontId="11" fillId="0" borderId="0" xfId="0" applyNumberFormat="1" applyFont="1" applyAlignment="1" quotePrefix="1">
      <alignment/>
    </xf>
    <xf numFmtId="3" fontId="28" fillId="0" borderId="0" xfId="0" applyNumberFormat="1" applyFont="1" applyAlignment="1" quotePrefix="1">
      <alignment/>
    </xf>
    <xf numFmtId="3" fontId="29" fillId="33" borderId="0" xfId="0" applyNumberFormat="1" applyFont="1" applyFill="1" applyAlignment="1" applyProtection="1">
      <alignment horizontal="left"/>
      <protection/>
    </xf>
    <xf numFmtId="4" fontId="29" fillId="33" borderId="0" xfId="0" applyNumberFormat="1" applyFont="1" applyFill="1" applyAlignment="1" applyProtection="1">
      <alignment horizontal="left"/>
      <protection/>
    </xf>
    <xf numFmtId="4" fontId="27" fillId="33" borderId="0" xfId="0" applyNumberFormat="1" applyFont="1" applyFill="1" applyAlignment="1" applyProtection="1">
      <alignment horizontal="left"/>
      <protection/>
    </xf>
    <xf numFmtId="4" fontId="29" fillId="33" borderId="0" xfId="0" applyNumberFormat="1" applyFont="1" applyFill="1" applyAlignment="1" applyProtection="1" quotePrefix="1">
      <alignment horizontal="left"/>
      <protection/>
    </xf>
    <xf numFmtId="0" fontId="11" fillId="0" borderId="0" xfId="0" applyFont="1" applyAlignment="1" quotePrefix="1">
      <alignment horizontal="right"/>
    </xf>
    <xf numFmtId="0" fontId="11" fillId="0" borderId="0" xfId="0" applyFont="1" applyAlignment="1">
      <alignment horizontal="right"/>
    </xf>
    <xf numFmtId="3" fontId="27" fillId="33" borderId="0" xfId="0" applyNumberFormat="1" applyFont="1" applyFill="1" applyAlignment="1" applyProtection="1">
      <alignment horizontal="left"/>
      <protection/>
    </xf>
    <xf numFmtId="3" fontId="28" fillId="33" borderId="0" xfId="0" applyNumberFormat="1" applyFont="1" applyFill="1" applyAlignment="1" applyProtection="1">
      <alignment horizontal="left"/>
      <protection/>
    </xf>
    <xf numFmtId="3" fontId="28" fillId="0" borderId="0" xfId="0" applyNumberFormat="1" applyFont="1" applyAlignment="1">
      <alignment/>
    </xf>
    <xf numFmtId="3" fontId="14" fillId="0" borderId="10" xfId="0" applyNumberFormat="1" applyFont="1" applyBorder="1" applyAlignment="1">
      <alignment horizontal="right"/>
    </xf>
    <xf numFmtId="165" fontId="6" fillId="0" borderId="0" xfId="0" applyNumberFormat="1" applyFont="1" applyAlignment="1">
      <alignment/>
    </xf>
    <xf numFmtId="9" fontId="0" fillId="33" borderId="0" xfId="51" applyFont="1" applyFill="1" applyAlignment="1">
      <alignment/>
    </xf>
    <xf numFmtId="0" fontId="0" fillId="33" borderId="0" xfId="0" applyFont="1" applyFill="1" applyAlignment="1">
      <alignment/>
    </xf>
    <xf numFmtId="4" fontId="3" fillId="33" borderId="0" xfId="0" applyNumberFormat="1" applyFont="1" applyFill="1" applyBorder="1" applyAlignment="1" applyProtection="1">
      <alignment horizontal="right"/>
      <protection locked="0"/>
    </xf>
    <xf numFmtId="4" fontId="4" fillId="0" borderId="0" xfId="0" applyNumberFormat="1" applyFont="1" applyAlignment="1">
      <alignment horizontal="center"/>
    </xf>
    <xf numFmtId="3" fontId="4" fillId="0" borderId="0" xfId="0" applyNumberFormat="1" applyFont="1" applyAlignment="1">
      <alignment horizontal="center"/>
    </xf>
    <xf numFmtId="3" fontId="19" fillId="0" borderId="0" xfId="0" applyNumberFormat="1" applyFont="1" applyAlignment="1">
      <alignment horizontal="center"/>
    </xf>
    <xf numFmtId="3" fontId="4" fillId="0" borderId="10" xfId="0" applyNumberFormat="1" applyFont="1" applyBorder="1" applyAlignment="1">
      <alignment horizontal="center"/>
    </xf>
    <xf numFmtId="4" fontId="4" fillId="0" borderId="10" xfId="0" applyNumberFormat="1" applyFont="1" applyBorder="1" applyAlignment="1">
      <alignment horizontal="center"/>
    </xf>
    <xf numFmtId="3" fontId="19" fillId="0" borderId="10" xfId="0" applyNumberFormat="1" applyFont="1" applyBorder="1" applyAlignment="1">
      <alignment horizontal="center"/>
    </xf>
    <xf numFmtId="3" fontId="18" fillId="0" borderId="10" xfId="0" applyNumberFormat="1" applyFont="1" applyBorder="1" applyAlignment="1">
      <alignment horizontal="center"/>
    </xf>
    <xf numFmtId="167" fontId="3" fillId="36" borderId="12" xfId="0" applyNumberFormat="1" applyFont="1" applyFill="1" applyBorder="1" applyAlignment="1" applyProtection="1">
      <alignment horizontal="right"/>
      <protection locked="0"/>
    </xf>
    <xf numFmtId="3" fontId="3" fillId="36" borderId="12" xfId="0" applyNumberFormat="1" applyFont="1" applyFill="1" applyBorder="1" applyAlignment="1" applyProtection="1">
      <alignment horizontal="right"/>
      <protection locked="0"/>
    </xf>
    <xf numFmtId="3" fontId="0" fillId="36" borderId="12" xfId="0" applyNumberFormat="1" applyFont="1" applyFill="1" applyBorder="1" applyAlignment="1" applyProtection="1">
      <alignment horizontal="right"/>
      <protection locked="0"/>
    </xf>
    <xf numFmtId="10" fontId="3" fillId="36" borderId="12" xfId="51" applyNumberFormat="1" applyFont="1" applyFill="1" applyBorder="1" applyAlignment="1" applyProtection="1">
      <alignment horizontal="right"/>
      <protection locked="0"/>
    </xf>
    <xf numFmtId="9" fontId="3" fillId="36" borderId="12" xfId="51" applyNumberFormat="1" applyFont="1" applyFill="1" applyBorder="1" applyAlignment="1" applyProtection="1">
      <alignment horizontal="right"/>
      <protection locked="0"/>
    </xf>
    <xf numFmtId="9" fontId="3" fillId="36" borderId="12" xfId="51" applyFont="1" applyFill="1" applyBorder="1" applyAlignment="1" applyProtection="1">
      <alignment horizontal="right"/>
      <protection locked="0"/>
    </xf>
    <xf numFmtId="1" fontId="3" fillId="36" borderId="12" xfId="51" applyNumberFormat="1" applyFont="1" applyFill="1" applyBorder="1" applyAlignment="1" applyProtection="1">
      <alignment horizontal="right"/>
      <protection locked="0"/>
    </xf>
    <xf numFmtId="4" fontId="3" fillId="36" borderId="13" xfId="0" applyNumberFormat="1" applyFont="1" applyFill="1" applyBorder="1" applyAlignment="1" applyProtection="1">
      <alignment horizontal="right"/>
      <protection locked="0"/>
    </xf>
    <xf numFmtId="169" fontId="7" fillId="33" borderId="0" xfId="0" applyNumberFormat="1" applyFont="1" applyFill="1" applyAlignment="1" applyProtection="1">
      <alignment horizontal="right"/>
      <protection/>
    </xf>
    <xf numFmtId="170" fontId="7" fillId="33" borderId="0" xfId="0" applyNumberFormat="1" applyFont="1" applyFill="1" applyAlignment="1" applyProtection="1">
      <alignment horizontal="right"/>
      <protection/>
    </xf>
    <xf numFmtId="4" fontId="20" fillId="33" borderId="0" xfId="0" applyNumberFormat="1" applyFont="1" applyFill="1" applyAlignment="1" applyProtection="1">
      <alignment horizontal="right"/>
      <protection/>
    </xf>
    <xf numFmtId="3" fontId="18" fillId="33" borderId="0" xfId="0" applyNumberFormat="1" applyFont="1" applyFill="1" applyAlignment="1" applyProtection="1">
      <alignment/>
      <protection/>
    </xf>
    <xf numFmtId="1" fontId="18" fillId="33" borderId="0" xfId="0" applyNumberFormat="1" applyFont="1" applyFill="1" applyAlignment="1" applyProtection="1">
      <alignment horizontal="right"/>
      <protection/>
    </xf>
    <xf numFmtId="173" fontId="18" fillId="33" borderId="0" xfId="0" applyNumberFormat="1" applyFont="1" applyFill="1" applyAlignment="1" applyProtection="1">
      <alignment horizontal="right"/>
      <protection/>
    </xf>
    <xf numFmtId="170" fontId="0" fillId="33" borderId="11" xfId="47" applyNumberFormat="1" applyFont="1" applyFill="1" applyBorder="1" applyAlignment="1" applyProtection="1">
      <alignment horizontal="right"/>
      <protection locked="0"/>
    </xf>
    <xf numFmtId="2" fontId="0" fillId="33" borderId="0" xfId="0" applyNumberFormat="1" applyFont="1" applyFill="1" applyAlignment="1">
      <alignment/>
    </xf>
    <xf numFmtId="0" fontId="0" fillId="0" borderId="0" xfId="0" applyNumberFormat="1" applyFont="1" applyAlignment="1">
      <alignment vertical="top" wrapText="1"/>
    </xf>
    <xf numFmtId="0" fontId="0" fillId="0" borderId="0" xfId="0" applyNumberFormat="1" applyFont="1" applyAlignment="1" quotePrefix="1">
      <alignment vertical="top" wrapText="1"/>
    </xf>
    <xf numFmtId="0" fontId="0" fillId="0" borderId="0" xfId="0" applyFont="1" applyAlignment="1" quotePrefix="1">
      <alignment vertical="top" wrapText="1"/>
    </xf>
    <xf numFmtId="165" fontId="0" fillId="0" borderId="0" xfId="0" applyNumberFormat="1" applyAlignment="1">
      <alignment vertical="top" wrapText="1"/>
    </xf>
    <xf numFmtId="166" fontId="0" fillId="0" borderId="0" xfId="51" applyNumberFormat="1" applyFont="1" applyAlignment="1">
      <alignment vertical="top" wrapText="1"/>
    </xf>
    <xf numFmtId="172" fontId="0" fillId="0" borderId="0" xfId="0" applyNumberFormat="1" applyAlignment="1">
      <alignment vertical="top" wrapText="1"/>
    </xf>
    <xf numFmtId="0" fontId="9" fillId="33" borderId="0" xfId="0" applyFont="1" applyFill="1" applyAlignment="1" applyProtection="1">
      <alignment horizontal="left"/>
      <protection/>
    </xf>
    <xf numFmtId="0" fontId="14" fillId="33" borderId="0" xfId="0" applyFont="1" applyFill="1" applyAlignment="1" applyProtection="1">
      <alignment horizontal="left"/>
      <protection/>
    </xf>
    <xf numFmtId="0" fontId="0" fillId="33" borderId="0" xfId="0" applyFill="1" applyAlignment="1" applyProtection="1">
      <alignment horizontal="left"/>
      <protection/>
    </xf>
    <xf numFmtId="4" fontId="16" fillId="33" borderId="0" xfId="0" applyNumberFormat="1" applyFont="1" applyFill="1" applyAlignment="1" applyProtection="1">
      <alignment horizontal="left"/>
      <protection/>
    </xf>
    <xf numFmtId="166" fontId="3" fillId="33" borderId="0" xfId="51" applyNumberFormat="1" applyFont="1" applyFill="1" applyAlignment="1" applyProtection="1">
      <alignment horizontal="left"/>
      <protection/>
    </xf>
    <xf numFmtId="0" fontId="8" fillId="33" borderId="0" xfId="48" applyFill="1" applyAlignment="1" applyProtection="1">
      <alignment horizontal="left"/>
      <protection/>
    </xf>
    <xf numFmtId="169" fontId="0" fillId="33" borderId="0" xfId="0" applyNumberFormat="1" applyFont="1" applyFill="1" applyAlignment="1" applyProtection="1">
      <alignment horizontal="left"/>
      <protection/>
    </xf>
    <xf numFmtId="169" fontId="3" fillId="33" borderId="0" xfId="0" applyNumberFormat="1" applyFont="1" applyFill="1" applyBorder="1" applyAlignment="1" applyProtection="1">
      <alignment horizontal="left"/>
      <protection/>
    </xf>
    <xf numFmtId="4" fontId="7" fillId="34" borderId="0" xfId="0" applyNumberFormat="1" applyFont="1" applyFill="1" applyAlignment="1" applyProtection="1">
      <alignment horizontal="left"/>
      <protection/>
    </xf>
    <xf numFmtId="1" fontId="18" fillId="33" borderId="0" xfId="0" applyNumberFormat="1" applyFont="1" applyFill="1" applyAlignment="1" applyProtection="1">
      <alignment horizontal="left"/>
      <protection/>
    </xf>
    <xf numFmtId="4" fontId="18" fillId="33" borderId="0" xfId="0" applyNumberFormat="1" applyFont="1" applyFill="1" applyAlignment="1" applyProtection="1">
      <alignment horizontal="left"/>
      <protection/>
    </xf>
    <xf numFmtId="4" fontId="71" fillId="33" borderId="0" xfId="0" applyNumberFormat="1" applyFont="1" applyFill="1" applyAlignment="1" applyProtection="1">
      <alignment horizontal="right"/>
      <protection/>
    </xf>
    <xf numFmtId="3" fontId="6" fillId="33" borderId="0" xfId="0" applyNumberFormat="1" applyFont="1" applyFill="1" applyAlignment="1" applyProtection="1">
      <alignment horizontal="right"/>
      <protection/>
    </xf>
    <xf numFmtId="9" fontId="3" fillId="33" borderId="0" xfId="51" applyFont="1" applyFill="1" applyAlignment="1" applyProtection="1">
      <alignment horizontal="right"/>
      <protection/>
    </xf>
    <xf numFmtId="3" fontId="6" fillId="33" borderId="0" xfId="0" applyNumberFormat="1" applyFont="1" applyFill="1" applyAlignment="1" applyProtection="1">
      <alignment horizontal="right"/>
      <protection/>
    </xf>
    <xf numFmtId="9" fontId="3" fillId="33" borderId="0" xfId="0" applyNumberFormat="1" applyFont="1" applyFill="1" applyAlignment="1">
      <alignment horizontal="right"/>
    </xf>
    <xf numFmtId="4" fontId="0" fillId="33" borderId="0" xfId="0" applyNumberFormat="1" applyFont="1" applyFill="1" applyAlignment="1" applyProtection="1">
      <alignment horizontal="right"/>
      <protection/>
    </xf>
    <xf numFmtId="9" fontId="18" fillId="33" borderId="0" xfId="51" applyFont="1" applyFill="1" applyAlignment="1" applyProtection="1">
      <alignment horizontal="right"/>
      <protection/>
    </xf>
    <xf numFmtId="4" fontId="18" fillId="33" borderId="0" xfId="0" applyNumberFormat="1" applyFont="1" applyFill="1" applyAlignment="1" applyProtection="1">
      <alignment horizontal="right"/>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265"/>
          <c:w val="0.91625"/>
          <c:h val="0.90875"/>
        </c:manualLayout>
      </c:layout>
      <c:barChart>
        <c:barDir val="col"/>
        <c:grouping val="clustered"/>
        <c:varyColors val="0"/>
        <c:ser>
          <c:idx val="1"/>
          <c:order val="0"/>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Berechnung!$A$7:$A$28</c:f>
              <c:numCache>
                <c:ptCount val="22"/>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numCache>
            </c:numRef>
          </c:cat>
          <c:val>
            <c:numRef>
              <c:f>Berechnung!$Y$7:$Y$28</c:f>
              <c:numCache>
                <c:ptCount val="22"/>
                <c:pt idx="0">
                  <c:v>0</c:v>
                </c:pt>
                <c:pt idx="1">
                  <c:v>-12108.38958883781</c:v>
                </c:pt>
                <c:pt idx="2">
                  <c:v>507.2933600632729</c:v>
                </c:pt>
                <c:pt idx="3">
                  <c:v>510.9103500888064</c:v>
                </c:pt>
                <c:pt idx="4">
                  <c:v>514.5941087809169</c:v>
                </c:pt>
                <c:pt idx="5">
                  <c:v>518.3455646968113</c:v>
                </c:pt>
                <c:pt idx="6">
                  <c:v>522.1656605319017</c:v>
                </c:pt>
                <c:pt idx="7">
                  <c:v>526.0553533285223</c:v>
                </c:pt>
                <c:pt idx="8">
                  <c:v>530.0156146877544</c:v>
                </c:pt>
                <c:pt idx="9">
                  <c:v>534.0474309844146</c:v>
                </c:pt>
                <c:pt idx="10">
                  <c:v>538.151803585247</c:v>
                </c:pt>
                <c:pt idx="11">
                  <c:v>542.3297490703702</c:v>
                </c:pt>
                <c:pt idx="12">
                  <c:v>546.582299458026</c:v>
                </c:pt>
                <c:pt idx="13">
                  <c:v>550.9105024326817</c:v>
                </c:pt>
                <c:pt idx="14">
                  <c:v>555.3154215765298</c:v>
                </c:pt>
                <c:pt idx="15">
                  <c:v>559.798136604444</c:v>
                </c:pt>
                <c:pt idx="16">
                  <c:v>564.3597436024335</c:v>
                </c:pt>
                <c:pt idx="17">
                  <c:v>569.0013552696583</c:v>
                </c:pt>
                <c:pt idx="18">
                  <c:v>573.7241011640468</c:v>
                </c:pt>
                <c:pt idx="19">
                  <c:v>578.529127951578</c:v>
                </c:pt>
                <c:pt idx="20">
                  <c:v>583.417599659281</c:v>
                </c:pt>
                <c:pt idx="21">
                  <c:v>573.3906979320025</c:v>
                </c:pt>
              </c:numCache>
            </c:numRef>
          </c:val>
        </c:ser>
        <c:axId val="49562004"/>
        <c:axId val="43404853"/>
      </c:barChart>
      <c:catAx>
        <c:axId val="49562004"/>
        <c:scaling>
          <c:orientation val="minMax"/>
        </c:scaling>
        <c:axPos val="b"/>
        <c:title>
          <c:tx>
            <c:rich>
              <a:bodyPr vert="horz" rot="0" anchor="ctr"/>
              <a:lstStyle/>
              <a:p>
                <a:pPr algn="ctr">
                  <a:defRPr/>
                </a:pPr>
                <a:r>
                  <a:rPr lang="en-US" cap="none" sz="1150" b="0" i="0" u="none" baseline="0">
                    <a:solidFill>
                      <a:srgbClr val="000000"/>
                    </a:solidFill>
                    <a:latin typeface="Arial"/>
                    <a:ea typeface="Arial"/>
                    <a:cs typeface="Arial"/>
                  </a:rPr>
                  <a:t>Zeit [Jahre]</a:t>
                </a:r>
              </a:p>
            </c:rich>
          </c:tx>
          <c:layout>
            <c:manualLayout>
              <c:xMode val="factor"/>
              <c:yMode val="factor"/>
              <c:x val="-0.005"/>
              <c:y val="0.0022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3404853"/>
        <c:crosses val="autoZero"/>
        <c:auto val="1"/>
        <c:lblOffset val="100"/>
        <c:tickLblSkip val="1"/>
        <c:noMultiLvlLbl val="0"/>
      </c:catAx>
      <c:valAx>
        <c:axId val="43404853"/>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Jahresergebnis [Euro]</a:t>
                </a:r>
              </a:p>
            </c:rich>
          </c:tx>
          <c:layout>
            <c:manualLayout>
              <c:xMode val="factor"/>
              <c:yMode val="factor"/>
              <c:x val="-0.016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9562004"/>
        <c:crossesAt val="1"/>
        <c:crossBetween val="between"/>
        <c:dispUnits/>
      </c:valAx>
      <c:spPr>
        <a:noFill/>
        <a:ln w="3175">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265"/>
          <c:w val="0.91625"/>
          <c:h val="0.9085"/>
        </c:manualLayout>
      </c:layout>
      <c:barChart>
        <c:barDir val="col"/>
        <c:grouping val="clustered"/>
        <c:varyColors val="0"/>
        <c:ser>
          <c:idx val="1"/>
          <c:order val="0"/>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Berechnung!$A$7:$A$28</c:f>
              <c:numCache>
                <c:ptCount val="22"/>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numCache>
            </c:numRef>
          </c:cat>
          <c:val>
            <c:numRef>
              <c:f>Berechnung!$AA$7:$AA$28</c:f>
              <c:numCache>
                <c:ptCount val="22"/>
                <c:pt idx="0">
                  <c:v>0</c:v>
                </c:pt>
                <c:pt idx="1">
                  <c:v>-12108.38958883781</c:v>
                </c:pt>
                <c:pt idx="2">
                  <c:v>-11615.871763533662</c:v>
                </c:pt>
                <c:pt idx="3">
                  <c:v>-11134.289757605859</c:v>
                </c:pt>
                <c:pt idx="4">
                  <c:v>-10663.36325100273</c:v>
                </c:pt>
                <c:pt idx="5">
                  <c:v>-10202.819930425068</c:v>
                </c:pt>
                <c:pt idx="6">
                  <c:v>-9752.39524474649</c:v>
                </c:pt>
                <c:pt idx="7">
                  <c:v>-9311.832168189696</c:v>
                </c:pt>
                <c:pt idx="8">
                  <c:v>-8880.880971007653</c:v>
                </c:pt>
                <c:pt idx="9">
                  <c:v>-8459.298997426922</c:v>
                </c:pt>
                <c:pt idx="10">
                  <c:v>-8046.850450618288</c:v>
                </c:pt>
                <c:pt idx="11">
                  <c:v>-7643.306184467558</c:v>
                </c:pt>
                <c:pt idx="12">
                  <c:v>-7248.443501926804</c:v>
                </c:pt>
                <c:pt idx="13">
                  <c:v>-6862.045959733519</c:v>
                </c:pt>
                <c:pt idx="14">
                  <c:v>-6483.903179292105</c:v>
                </c:pt>
                <c:pt idx="15">
                  <c:v>-6113.810663518823</c:v>
                </c:pt>
                <c:pt idx="16">
                  <c:v>-5751.569619457853</c:v>
                </c:pt>
                <c:pt idx="17">
                  <c:v>-5396.986786482364</c:v>
                </c:pt>
                <c:pt idx="18">
                  <c:v>-5049.874269900606</c:v>
                </c:pt>
                <c:pt idx="19">
                  <c:v>-4710.049379792898</c:v>
                </c:pt>
                <c:pt idx="20">
                  <c:v>-4377.3344749110565</c:v>
                </c:pt>
                <c:pt idx="21">
                  <c:v>-4059.861947790126</c:v>
                </c:pt>
              </c:numCache>
            </c:numRef>
          </c:val>
        </c:ser>
        <c:axId val="55099358"/>
        <c:axId val="26132175"/>
      </c:barChart>
      <c:catAx>
        <c:axId val="55099358"/>
        <c:scaling>
          <c:orientation val="minMax"/>
        </c:scaling>
        <c:axPos val="b"/>
        <c:title>
          <c:tx>
            <c:rich>
              <a:bodyPr vert="horz" rot="0" anchor="ctr"/>
              <a:lstStyle/>
              <a:p>
                <a:pPr algn="ctr">
                  <a:defRPr/>
                </a:pPr>
                <a:r>
                  <a:rPr lang="en-US" cap="none" sz="1150" b="0" i="0" u="none" baseline="0">
                    <a:solidFill>
                      <a:srgbClr val="000000"/>
                    </a:solidFill>
                    <a:latin typeface="Arial"/>
                    <a:ea typeface="Arial"/>
                    <a:cs typeface="Arial"/>
                  </a:rPr>
                  <a:t>Zeit [Jahre]</a:t>
                </a:r>
              </a:p>
            </c:rich>
          </c:tx>
          <c:layout>
            <c:manualLayout>
              <c:xMode val="factor"/>
              <c:yMode val="factor"/>
              <c:x val="-0.00425"/>
              <c:y val="0.0022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6132175"/>
        <c:crosses val="autoZero"/>
        <c:auto val="1"/>
        <c:lblOffset val="100"/>
        <c:tickLblSkip val="1"/>
        <c:noMultiLvlLbl val="0"/>
      </c:catAx>
      <c:valAx>
        <c:axId val="26132175"/>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Kapitalwert [Euro]</a:t>
                </a:r>
              </a:p>
            </c:rich>
          </c:tx>
          <c:layout>
            <c:manualLayout>
              <c:xMode val="factor"/>
              <c:yMode val="factor"/>
              <c:x val="-0.016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5099358"/>
        <c:crossesAt val="1"/>
        <c:crossBetween val="between"/>
        <c:dispUnits/>
      </c:valAx>
      <c:spPr>
        <a:noFill/>
        <a:ln w="3175">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Diagramm4"/>
  <sheetViews>
    <sheetView workbookViewId="0"/>
  </sheetViews>
  <pageMargins left="0.7874015748031497" right="0.7874015748031497" top="0.7874015748031497" bottom="6.692913385826772" header="0.5118110236220472" footer="0.5118110236220472"/>
  <pageSetup fitToHeight="0" fitToWidth="0" horizontalDpi="600" verticalDpi="600" orientation="portrait" paperSize="9"/>
  <headerFooter>
    <oddHeader>&amp;F</oddHeader>
    <oddFooter>&amp;A</oddFoot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sheetViews>
  <pageMargins left="0.7874015748031497" right="0.7874015748031497" top="0.7874015748031497" bottom="6.692913385826772" header="0.5118110236220472" footer="0.5118110236220472"/>
  <pageSetup fitToHeight="0" fitToWidth="0" horizontalDpi="600" verticalDpi="600" orientation="portrait" paperSize="9"/>
  <headerFooter>
    <oddHeader>&amp;F</oddHeader>
    <oddFooter>&amp;A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4076700</xdr:colOff>
      <xdr:row>0</xdr:row>
      <xdr:rowOff>104775</xdr:rowOff>
    </xdr:from>
    <xdr:to>
      <xdr:col>0</xdr:col>
      <xdr:colOff>5648325</xdr:colOff>
      <xdr:row>2</xdr:row>
      <xdr:rowOff>457200</xdr:rowOff>
    </xdr:to>
    <xdr:pic>
      <xdr:nvPicPr>
        <xdr:cNvPr id="1" name="Picture 2" descr="C:\Dokumente und Einstellungen\aw\Desktop\Umweltinstitut-Logo-CMYK_klein.tif"/>
        <xdr:cNvPicPr preferRelativeResize="1">
          <a:picLocks noChangeAspect="1"/>
        </xdr:cNvPicPr>
      </xdr:nvPicPr>
      <xdr:blipFill>
        <a:blip r:embed="rId1"/>
        <a:stretch>
          <a:fillRect/>
        </a:stretch>
      </xdr:blipFill>
      <xdr:spPr>
        <a:xfrm>
          <a:off x="4076700" y="104775"/>
          <a:ext cx="157162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409575</xdr:colOff>
      <xdr:row>0</xdr:row>
      <xdr:rowOff>76200</xdr:rowOff>
    </xdr:from>
    <xdr:to>
      <xdr:col>7</xdr:col>
      <xdr:colOff>1009650</xdr:colOff>
      <xdr:row>4</xdr:row>
      <xdr:rowOff>152400</xdr:rowOff>
    </xdr:to>
    <xdr:pic>
      <xdr:nvPicPr>
        <xdr:cNvPr id="1" name="Picture 113" descr="C:\Dokumente und Einstellungen\aw\Desktop\Umweltinstitut-Logo-CMYK_klein.tif"/>
        <xdr:cNvPicPr preferRelativeResize="1">
          <a:picLocks noChangeAspect="1"/>
        </xdr:cNvPicPr>
      </xdr:nvPicPr>
      <xdr:blipFill>
        <a:blip r:embed="rId1"/>
        <a:stretch>
          <a:fillRect/>
        </a:stretch>
      </xdr:blipFill>
      <xdr:spPr>
        <a:xfrm>
          <a:off x="5857875" y="76200"/>
          <a:ext cx="17811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3838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3838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weltinstitut.org/frames/all/m344.ht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kfw-formularsammlung.de/KonditionenanzeigerINet/KonditionenAnzeiger?ProgrammNameNr=274%20275" TargetMode="External" /><Relationship Id="rId2" Type="http://schemas.openxmlformats.org/officeDocument/2006/relationships/hyperlink" Target="http://re.jrc.ec.europa.eu/pvgis/apps4/pvest.php" TargetMode="External" /><Relationship Id="rId3" Type="http://schemas.openxmlformats.org/officeDocument/2006/relationships/hyperlink" Target="https://www.kfw.de/Download-Center/F%C3%B6rderprogramme-(Inlandsf%C3%B6rderung)/PDF-Dokumente/6000002702_F_275_Handreichung_Zuschuss.pdf"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d.docs.live.net/Alfred/Documents/Arbeit/fb/AppData/Local/Program%20Files%20(x86)/Microsoft%20Office/Office/1031/vbaListe.xls" TargetMode="External" /><Relationship Id="rId2" Type="http://schemas.openxmlformats.org/officeDocument/2006/relationships/comments" Target="../comments8.x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N48"/>
  <sheetViews>
    <sheetView showGridLines="0" zoomScalePageLayoutView="0" workbookViewId="0" topLeftCell="A1">
      <selection activeCell="A1" sqref="A1"/>
    </sheetView>
  </sheetViews>
  <sheetFormatPr defaultColWidth="11.421875" defaultRowHeight="12.75"/>
  <cols>
    <col min="1" max="1" width="85.7109375" style="1" customWidth="1"/>
  </cols>
  <sheetData>
    <row r="1" s="19" customFormat="1" ht="18">
      <c r="A1" s="62" t="s">
        <v>37</v>
      </c>
    </row>
    <row r="2" ht="15" customHeight="1">
      <c r="A2" s="6" t="str">
        <f>ProgVersion</f>
        <v>Stand: 17.11.2016</v>
      </c>
    </row>
    <row r="3" spans="1:14" s="23" customFormat="1" ht="48.75" customHeight="1">
      <c r="A3" s="20" t="s">
        <v>71</v>
      </c>
      <c r="B3" s="21"/>
      <c r="C3" s="21"/>
      <c r="D3" s="21"/>
      <c r="E3" s="21"/>
      <c r="F3" s="21"/>
      <c r="G3" s="22"/>
      <c r="H3" s="22"/>
      <c r="I3" s="22"/>
      <c r="J3" s="22"/>
      <c r="K3" s="22"/>
      <c r="L3" s="22"/>
      <c r="M3" s="22"/>
      <c r="N3" s="22"/>
    </row>
    <row r="4" spans="1:14" s="23" customFormat="1" ht="48.75" customHeight="1">
      <c r="A4" s="24" t="s">
        <v>118</v>
      </c>
      <c r="B4" s="21"/>
      <c r="C4" s="21"/>
      <c r="D4" s="21"/>
      <c r="E4" s="21"/>
      <c r="F4" s="21"/>
      <c r="G4" s="22"/>
      <c r="H4" s="22"/>
      <c r="I4" s="22"/>
      <c r="J4" s="22"/>
      <c r="K4" s="22"/>
      <c r="L4" s="22"/>
      <c r="M4" s="22"/>
      <c r="N4" s="22"/>
    </row>
    <row r="6" s="27" customFormat="1" ht="37.5" customHeight="1">
      <c r="A6" s="30" t="s">
        <v>73</v>
      </c>
    </row>
    <row r="7" s="26" customFormat="1" ht="159.75" customHeight="1">
      <c r="A7" s="31" t="s">
        <v>87</v>
      </c>
    </row>
    <row r="8" ht="52.5" customHeight="1">
      <c r="A8" s="30" t="s">
        <v>102</v>
      </c>
    </row>
    <row r="9" ht="32.25" customHeight="1">
      <c r="A9" s="32" t="s">
        <v>74</v>
      </c>
    </row>
    <row r="10" ht="57.75" customHeight="1">
      <c r="A10" s="31" t="s">
        <v>128</v>
      </c>
    </row>
    <row r="11" ht="47.25" customHeight="1">
      <c r="A11" s="30" t="s">
        <v>127</v>
      </c>
    </row>
    <row r="12" ht="75" customHeight="1">
      <c r="A12" s="33" t="s">
        <v>91</v>
      </c>
    </row>
    <row r="13" s="13" customFormat="1" ht="42" customHeight="1">
      <c r="A13" s="30" t="s">
        <v>126</v>
      </c>
    </row>
    <row r="14" ht="23.25" customHeight="1">
      <c r="A14" s="29" t="s">
        <v>75</v>
      </c>
    </row>
    <row r="15" ht="62.25" customHeight="1">
      <c r="A15" s="61" t="s">
        <v>122</v>
      </c>
    </row>
    <row r="16" ht="30" customHeight="1">
      <c r="A16" s="34" t="s">
        <v>45</v>
      </c>
    </row>
    <row r="17" ht="28.5" customHeight="1">
      <c r="A17" s="34" t="s">
        <v>9</v>
      </c>
    </row>
    <row r="18" ht="27.75" customHeight="1">
      <c r="A18" s="34" t="s">
        <v>68</v>
      </c>
    </row>
    <row r="19" s="26" customFormat="1" ht="42.75" customHeight="1">
      <c r="A19" s="25" t="s">
        <v>72</v>
      </c>
    </row>
    <row r="20" ht="12.75">
      <c r="A20" s="28"/>
    </row>
    <row r="21" ht="12.75">
      <c r="A21" s="28"/>
    </row>
    <row r="22" ht="12.75">
      <c r="A22" s="28"/>
    </row>
    <row r="23" ht="12.75">
      <c r="A23" s="28"/>
    </row>
    <row r="24" ht="12.75">
      <c r="A24" s="28"/>
    </row>
    <row r="25" ht="12.75">
      <c r="A25" s="28"/>
    </row>
    <row r="26" ht="12.75">
      <c r="A26" s="28"/>
    </row>
    <row r="27" ht="12.75">
      <c r="A27" s="28"/>
    </row>
    <row r="28" ht="12.75">
      <c r="A28" s="28"/>
    </row>
    <row r="29" ht="12.75">
      <c r="A29" s="28"/>
    </row>
    <row r="30" ht="12.75">
      <c r="A30" s="28"/>
    </row>
    <row r="31" ht="12.75">
      <c r="A31" s="28"/>
    </row>
    <row r="32" ht="12.75">
      <c r="A32" s="28"/>
    </row>
    <row r="33" ht="12.75">
      <c r="A33" s="28"/>
    </row>
    <row r="34" ht="12.75">
      <c r="A34" s="28"/>
    </row>
    <row r="35" ht="12.75">
      <c r="A35" s="28"/>
    </row>
    <row r="36" ht="12.75">
      <c r="A36" s="28"/>
    </row>
    <row r="37" ht="12.75">
      <c r="A37" s="28"/>
    </row>
    <row r="38" ht="12.75">
      <c r="A38" s="28"/>
    </row>
    <row r="39" ht="12.75">
      <c r="A39" s="28"/>
    </row>
    <row r="40" ht="12.75">
      <c r="A40" s="28"/>
    </row>
    <row r="41" ht="12.75">
      <c r="A41" s="28"/>
    </row>
    <row r="42" ht="12.75">
      <c r="A42" s="28"/>
    </row>
    <row r="43" ht="12.75">
      <c r="A43" s="28"/>
    </row>
    <row r="44" ht="12.75">
      <c r="A44" s="28"/>
    </row>
    <row r="45" ht="12.75">
      <c r="A45" s="28"/>
    </row>
    <row r="46" ht="12.75">
      <c r="A46" s="28"/>
    </row>
    <row r="47" ht="12.75">
      <c r="A47" s="28"/>
    </row>
    <row r="48" ht="12.75">
      <c r="A48" s="28"/>
    </row>
  </sheetData>
  <sheetProtection sheet="1" objects="1" scenarios="1"/>
  <hyperlinks>
    <hyperlink ref="A19" r:id="rId1" display="Zum Textbeitrag &quot;Wirtschaftlichkeit von Photovoltaik-Anlagen&quot; auf www.umweltinstitut.org"/>
  </hyperlinks>
  <printOptions/>
  <pageMargins left="0.787401575" right="0.787401575" top="0.984251969" bottom="0.984251969" header="0.4921259845" footer="0.4921259845"/>
  <pageSetup horizontalDpi="600" verticalDpi="600" orientation="portrait" paperSize="9"/>
  <headerFooter alignWithMargins="0">
    <oddHeader>&amp;C&amp;F</oddHeader>
    <oddFooter>&amp;C&amp;A</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K87"/>
  <sheetViews>
    <sheetView showGridLines="0" tabSelected="1" zoomScalePageLayoutView="0" workbookViewId="0" topLeftCell="A1">
      <selection activeCell="E5" sqref="E5"/>
    </sheetView>
  </sheetViews>
  <sheetFormatPr defaultColWidth="8.7109375" defaultRowHeight="15" customHeight="1"/>
  <cols>
    <col min="1" max="1" width="44.421875" style="98" customWidth="1"/>
    <col min="2" max="2" width="10.00390625" style="50" customWidth="1"/>
    <col min="3" max="3" width="9.421875" style="50" customWidth="1"/>
    <col min="4" max="4" width="8.28125" style="50" customWidth="1"/>
    <col min="5" max="5" width="9.57421875" style="100" customWidth="1"/>
    <col min="6" max="6" width="8.28125" style="50" customWidth="1"/>
    <col min="7" max="7" width="9.421875" style="50" customWidth="1"/>
    <col min="8" max="8" width="16.421875" style="50" customWidth="1"/>
    <col min="9" max="9" width="8.421875" style="50" hidden="1" customWidth="1"/>
    <col min="10" max="10" width="1.57421875" style="50" customWidth="1"/>
    <col min="11" max="11" width="15.7109375" style="162" customWidth="1"/>
    <col min="12" max="16384" width="8.7109375" style="51" customWidth="1"/>
  </cols>
  <sheetData>
    <row r="1" spans="1:11" s="65" customFormat="1" ht="18.75" customHeight="1">
      <c r="A1" s="62" t="s">
        <v>37</v>
      </c>
      <c r="B1" s="63"/>
      <c r="C1" s="62"/>
      <c r="D1" s="63"/>
      <c r="E1" s="204"/>
      <c r="F1" s="62"/>
      <c r="G1" s="64"/>
      <c r="H1" s="64"/>
      <c r="I1" s="64"/>
      <c r="J1" s="119"/>
      <c r="K1" s="163"/>
    </row>
    <row r="2" spans="1:11" s="69" customFormat="1" ht="15" customHeight="1">
      <c r="A2" s="66" t="s">
        <v>316</v>
      </c>
      <c r="B2" s="67"/>
      <c r="C2" s="66"/>
      <c r="D2" s="67"/>
      <c r="E2" s="205"/>
      <c r="F2" s="66"/>
      <c r="G2" s="68"/>
      <c r="H2" s="68"/>
      <c r="I2" s="68"/>
      <c r="J2" s="119"/>
      <c r="K2" s="163"/>
    </row>
    <row r="3" spans="1:11" s="69" customFormat="1" ht="15" customHeight="1">
      <c r="A3" s="70"/>
      <c r="B3" s="67"/>
      <c r="C3" s="66"/>
      <c r="D3" s="67"/>
      <c r="E3" s="205"/>
      <c r="F3" s="66"/>
      <c r="G3" s="68"/>
      <c r="H3" s="68"/>
      <c r="I3" s="68"/>
      <c r="J3" s="119"/>
      <c r="K3" s="163"/>
    </row>
    <row r="4" spans="1:11" ht="15" customHeight="1">
      <c r="A4" s="74" t="s">
        <v>21</v>
      </c>
      <c r="B4" s="70"/>
      <c r="C4" s="71"/>
      <c r="D4" s="70"/>
      <c r="E4" s="206"/>
      <c r="F4" s="71"/>
      <c r="J4" s="119"/>
      <c r="K4" s="163"/>
    </row>
    <row r="5" spans="1:11" s="76" customFormat="1" ht="15" customHeight="1">
      <c r="A5" s="76" t="s">
        <v>123</v>
      </c>
      <c r="B5" s="75"/>
      <c r="D5" s="75"/>
      <c r="J5" s="119"/>
      <c r="K5" s="167"/>
    </row>
    <row r="6" spans="1:11" s="76" customFormat="1" ht="15" customHeight="1">
      <c r="A6" s="76" t="s">
        <v>125</v>
      </c>
      <c r="B6" s="75"/>
      <c r="D6" s="75"/>
      <c r="J6" s="119"/>
      <c r="K6" s="167"/>
    </row>
    <row r="7" spans="1:10" s="76" customFormat="1" ht="15" customHeight="1">
      <c r="A7" s="76" t="s">
        <v>124</v>
      </c>
      <c r="B7" s="75"/>
      <c r="D7" s="75"/>
      <c r="J7" s="119"/>
    </row>
    <row r="8" spans="1:11" s="78" customFormat="1" ht="15" customHeight="1">
      <c r="A8" s="76" t="s">
        <v>289</v>
      </c>
      <c r="B8" s="77"/>
      <c r="C8" s="77"/>
      <c r="D8" s="77"/>
      <c r="E8" s="207"/>
      <c r="F8" s="77"/>
      <c r="G8" s="77"/>
      <c r="H8" s="77"/>
      <c r="J8" s="119"/>
      <c r="K8" s="161"/>
    </row>
    <row r="9" spans="2:11" s="78" customFormat="1" ht="15" customHeight="1">
      <c r="B9" s="77"/>
      <c r="C9" s="77"/>
      <c r="D9" s="77"/>
      <c r="E9" s="207"/>
      <c r="F9" s="77"/>
      <c r="G9" s="77"/>
      <c r="H9" s="77"/>
      <c r="J9" s="119"/>
      <c r="K9" s="168"/>
    </row>
    <row r="10" spans="1:11" ht="15" customHeight="1">
      <c r="A10" s="79" t="s">
        <v>5</v>
      </c>
      <c r="B10" s="80"/>
      <c r="C10" s="81"/>
      <c r="J10" s="119"/>
      <c r="K10" s="163"/>
    </row>
    <row r="11" spans="1:10" ht="15" customHeight="1">
      <c r="A11" s="82" t="s">
        <v>79</v>
      </c>
      <c r="B11" s="102">
        <f>Berechnung!Y30</f>
        <v>-0.009601969469578586</v>
      </c>
      <c r="C11" s="83" t="s">
        <v>1</v>
      </c>
      <c r="J11" s="119"/>
    </row>
    <row r="12" spans="1:10" ht="15" customHeight="1">
      <c r="A12" s="82" t="s">
        <v>92</v>
      </c>
      <c r="B12" s="103">
        <f>Berechnung!AC31</f>
        <v>0.2543888875003038</v>
      </c>
      <c r="C12" s="83" t="s">
        <v>66</v>
      </c>
      <c r="J12" s="119"/>
    </row>
    <row r="13" spans="1:10" ht="15" customHeight="1">
      <c r="A13" s="82" t="s">
        <v>48</v>
      </c>
      <c r="B13" s="104">
        <f>Berechnung!Z29</f>
        <v>-4059.861947790126</v>
      </c>
      <c r="C13" s="82" t="s">
        <v>20</v>
      </c>
      <c r="J13" s="119"/>
    </row>
    <row r="14" spans="1:11" ht="15" customHeight="1">
      <c r="A14" s="82" t="s">
        <v>93</v>
      </c>
      <c r="B14" s="104">
        <f>AnlagenpreisPV*1.19+IF(BatteriespeicherJN=0,0,ZusatzkostenSteuerung+ZusatzkostenBatterie-ZuschussBatterie)-Kredit1*Auszahlung1-Kredit2</f>
        <v>13140</v>
      </c>
      <c r="C14" s="82" t="s">
        <v>20</v>
      </c>
      <c r="E14" s="98"/>
      <c r="J14" s="119"/>
      <c r="K14" s="164"/>
    </row>
    <row r="15" spans="5:11" ht="15" customHeight="1">
      <c r="E15" s="98"/>
      <c r="J15" s="119"/>
      <c r="K15" s="164"/>
    </row>
    <row r="16" spans="1:11" ht="15" customHeight="1">
      <c r="A16" s="82" t="s">
        <v>39</v>
      </c>
      <c r="B16" s="84"/>
      <c r="C16" s="82"/>
      <c r="E16" s="98"/>
      <c r="J16" s="119"/>
      <c r="K16" s="164"/>
    </row>
    <row r="17" spans="1:11" s="52" customFormat="1" ht="15" customHeight="1">
      <c r="A17" s="87" t="s">
        <v>107</v>
      </c>
      <c r="B17" s="182">
        <v>4</v>
      </c>
      <c r="C17" s="88" t="s">
        <v>10</v>
      </c>
      <c r="D17" s="215">
        <f>IF(kWp&gt;1000,"maximal 1000 kWp","")</f>
      </c>
      <c r="E17" s="82"/>
      <c r="I17" s="89"/>
      <c r="J17" s="119"/>
      <c r="K17" s="162"/>
    </row>
    <row r="18" spans="1:11" s="52" customFormat="1" ht="15" customHeight="1">
      <c r="A18" s="87" t="s">
        <v>120</v>
      </c>
      <c r="B18" s="183">
        <v>6000</v>
      </c>
      <c r="C18" s="88" t="s">
        <v>116</v>
      </c>
      <c r="D18" s="93">
        <f>AnlagenpreisPV/kWp</f>
        <v>1500</v>
      </c>
      <c r="E18" s="88" t="s">
        <v>17</v>
      </c>
      <c r="F18" s="88"/>
      <c r="H18" s="88"/>
      <c r="J18" s="119"/>
      <c r="K18" s="162"/>
    </row>
    <row r="19" spans="1:11" s="52" customFormat="1" ht="15" customHeight="1">
      <c r="A19" s="87" t="s">
        <v>103</v>
      </c>
      <c r="B19" s="183">
        <v>1</v>
      </c>
      <c r="C19" s="88"/>
      <c r="D19" s="89"/>
      <c r="E19" s="88"/>
      <c r="H19" s="90"/>
      <c r="J19" s="119"/>
      <c r="K19" s="163"/>
    </row>
    <row r="20" spans="1:11" s="52" customFormat="1" ht="15" customHeight="1">
      <c r="A20" s="87" t="s">
        <v>104</v>
      </c>
      <c r="B20" s="183">
        <v>2</v>
      </c>
      <c r="C20" s="88"/>
      <c r="D20" s="89"/>
      <c r="E20" s="88"/>
      <c r="H20" s="90"/>
      <c r="J20" s="119"/>
      <c r="K20" s="162"/>
    </row>
    <row r="21" spans="1:11" s="52" customFormat="1" ht="15" customHeight="1">
      <c r="A21" s="87" t="s">
        <v>133</v>
      </c>
      <c r="B21" s="183">
        <v>1500</v>
      </c>
      <c r="C21" s="88" t="s">
        <v>90</v>
      </c>
      <c r="D21" s="89"/>
      <c r="E21" s="88"/>
      <c r="H21" s="90"/>
      <c r="J21" s="119"/>
      <c r="K21" s="162"/>
    </row>
    <row r="22" spans="1:11" s="52" customFormat="1" ht="15" customHeight="1">
      <c r="A22" s="87" t="s">
        <v>117</v>
      </c>
      <c r="B22" s="184">
        <v>4500</v>
      </c>
      <c r="C22" s="88" t="s">
        <v>90</v>
      </c>
      <c r="D22" s="216"/>
      <c r="E22" s="91"/>
      <c r="F22" s="91"/>
      <c r="G22" s="92"/>
      <c r="H22" s="91"/>
      <c r="J22" s="119"/>
      <c r="K22" s="162"/>
    </row>
    <row r="23" spans="1:10" s="52" customFormat="1" ht="15" customHeight="1">
      <c r="A23" s="87" t="s">
        <v>119</v>
      </c>
      <c r="B23" s="184"/>
      <c r="C23" s="88" t="s">
        <v>20</v>
      </c>
      <c r="D23" s="89" t="s">
        <v>312</v>
      </c>
      <c r="E23" s="99" t="s">
        <v>314</v>
      </c>
      <c r="H23" s="90"/>
      <c r="J23" s="119"/>
    </row>
    <row r="24" spans="1:10" s="52" customFormat="1" ht="15" customHeight="1">
      <c r="A24" s="87" t="s">
        <v>132</v>
      </c>
      <c r="B24" s="183">
        <f>3%*AnlagenpreisPV</f>
        <v>180</v>
      </c>
      <c r="C24" s="88" t="s">
        <v>20</v>
      </c>
      <c r="D24" s="217"/>
      <c r="E24" s="88"/>
      <c r="J24" s="119"/>
    </row>
    <row r="25" spans="1:11" s="52" customFormat="1" ht="15" customHeight="1">
      <c r="A25" s="88" t="s">
        <v>279</v>
      </c>
      <c r="B25" s="184">
        <f>1.5%*AnlagenpreisPV</f>
        <v>90</v>
      </c>
      <c r="C25" s="88" t="s">
        <v>282</v>
      </c>
      <c r="D25" s="89"/>
      <c r="E25" s="208"/>
      <c r="G25" s="93"/>
      <c r="H25" s="88"/>
      <c r="J25" s="119"/>
      <c r="K25" s="162"/>
    </row>
    <row r="26" spans="1:11" s="52" customFormat="1" ht="15" customHeight="1">
      <c r="A26" s="88" t="s">
        <v>46</v>
      </c>
      <c r="B26" s="184">
        <v>0</v>
      </c>
      <c r="C26" s="88" t="s">
        <v>282</v>
      </c>
      <c r="D26" s="89"/>
      <c r="E26" s="88"/>
      <c r="G26" s="93"/>
      <c r="H26" s="88"/>
      <c r="J26" s="119"/>
      <c r="K26" s="162"/>
    </row>
    <row r="27" spans="1:11" s="52" customFormat="1" ht="15" customHeight="1">
      <c r="A27" s="87" t="s">
        <v>27</v>
      </c>
      <c r="B27" s="183">
        <v>950</v>
      </c>
      <c r="C27" s="88" t="s">
        <v>315</v>
      </c>
      <c r="D27" s="89"/>
      <c r="E27" s="209" t="s">
        <v>131</v>
      </c>
      <c r="J27" s="119"/>
      <c r="K27" s="162"/>
    </row>
    <row r="28" spans="1:11" s="52" customFormat="1" ht="15" customHeight="1">
      <c r="A28" s="87" t="s">
        <v>19</v>
      </c>
      <c r="B28" s="185">
        <v>0.005</v>
      </c>
      <c r="C28" s="88"/>
      <c r="D28" s="89"/>
      <c r="E28" s="88"/>
      <c r="H28" s="90"/>
      <c r="J28" s="119"/>
      <c r="K28" s="162"/>
    </row>
    <row r="29" spans="1:11" s="52" customFormat="1" ht="15" customHeight="1">
      <c r="A29" s="87" t="s">
        <v>89</v>
      </c>
      <c r="B29" s="186">
        <v>0.2</v>
      </c>
      <c r="C29" s="88"/>
      <c r="D29" s="89"/>
      <c r="E29" s="88"/>
      <c r="H29" s="90"/>
      <c r="J29" s="119"/>
      <c r="K29" s="162"/>
    </row>
    <row r="30" spans="1:11" s="52" customFormat="1" ht="15" customHeight="1">
      <c r="A30" s="87" t="s">
        <v>101</v>
      </c>
      <c r="B30" s="187">
        <v>0.4</v>
      </c>
      <c r="C30" s="88"/>
      <c r="D30" s="218"/>
      <c r="E30" s="88"/>
      <c r="H30" s="90"/>
      <c r="J30" s="119"/>
      <c r="K30" s="162"/>
    </row>
    <row r="31" spans="1:11" s="52" customFormat="1" ht="15" customHeight="1">
      <c r="A31" s="87" t="s">
        <v>291</v>
      </c>
      <c r="B31" s="186">
        <v>0.25</v>
      </c>
      <c r="C31" s="88"/>
      <c r="D31" s="89"/>
      <c r="E31" s="209"/>
      <c r="J31" s="119"/>
      <c r="K31" s="162"/>
    </row>
    <row r="32" spans="1:11" s="52" customFormat="1" ht="15" customHeight="1">
      <c r="A32" s="87" t="s">
        <v>292</v>
      </c>
      <c r="B32" s="186">
        <v>0.1</v>
      </c>
      <c r="C32" s="88"/>
      <c r="D32" s="89"/>
      <c r="E32" s="209"/>
      <c r="J32" s="119"/>
      <c r="K32" s="162"/>
    </row>
    <row r="33" spans="1:11" s="52" customFormat="1" ht="15" customHeight="1">
      <c r="A33" s="87" t="s">
        <v>121</v>
      </c>
      <c r="B33" s="188">
        <v>2016</v>
      </c>
      <c r="C33" s="94"/>
      <c r="D33" s="217"/>
      <c r="E33" s="88"/>
      <c r="H33" s="90"/>
      <c r="J33" s="119"/>
      <c r="K33" s="162"/>
    </row>
    <row r="34" spans="1:11" s="52" customFormat="1" ht="15" customHeight="1">
      <c r="A34" s="87" t="s">
        <v>76</v>
      </c>
      <c r="B34" s="188">
        <v>11</v>
      </c>
      <c r="C34" s="89" t="s">
        <v>85</v>
      </c>
      <c r="D34" s="219">
        <f>VLOOKUP(IBNMonat,Solarertrag!C1:D12,2,TRUE)</f>
        <v>0.0275</v>
      </c>
      <c r="E34" s="88" t="s">
        <v>88</v>
      </c>
      <c r="J34" s="119"/>
      <c r="K34" s="162"/>
    </row>
    <row r="35" spans="1:11" s="52" customFormat="1" ht="15" customHeight="1">
      <c r="A35" s="87" t="s">
        <v>290</v>
      </c>
      <c r="B35" s="188" t="s">
        <v>65</v>
      </c>
      <c r="C35" s="89"/>
      <c r="D35" s="95"/>
      <c r="E35" s="88"/>
      <c r="J35" s="119"/>
      <c r="K35" s="162"/>
    </row>
    <row r="36" spans="1:11" s="86" customFormat="1" ht="15" customHeight="1">
      <c r="A36" s="88" t="s">
        <v>278</v>
      </c>
      <c r="B36" s="183" t="s">
        <v>65</v>
      </c>
      <c r="C36" s="85"/>
      <c r="D36" s="89"/>
      <c r="E36" s="79"/>
      <c r="I36" s="85"/>
      <c r="J36" s="119"/>
      <c r="K36" s="163"/>
    </row>
    <row r="37" spans="1:11" s="52" customFormat="1" ht="15" customHeight="1">
      <c r="A37" s="87" t="s">
        <v>277</v>
      </c>
      <c r="B37" s="189" t="s">
        <v>111</v>
      </c>
      <c r="D37" s="89"/>
      <c r="E37" s="88"/>
      <c r="J37" s="119"/>
      <c r="K37" s="162"/>
    </row>
    <row r="38" spans="1:11" s="52" customFormat="1" ht="15" customHeight="1">
      <c r="A38" s="87"/>
      <c r="B38" s="174"/>
      <c r="D38" s="89"/>
      <c r="E38" s="88"/>
      <c r="J38" s="119"/>
      <c r="K38" s="162"/>
    </row>
    <row r="39" spans="1:11" s="52" customFormat="1" ht="15" customHeight="1">
      <c r="A39" s="87" t="s">
        <v>134</v>
      </c>
      <c r="B39" s="118">
        <f>AnlagenpreisPV*IF(Kleinunternehmer="ja",1.19,1)+BatteriespeicherJN*(ZusatzkostenSteuerung+ZusatzkostenBatterie-ZuschussBatterie)</f>
        <v>12000</v>
      </c>
      <c r="C39" s="88" t="s">
        <v>20</v>
      </c>
      <c r="D39" s="89"/>
      <c r="E39" s="88"/>
      <c r="J39" s="119"/>
      <c r="K39" s="162"/>
    </row>
    <row r="40" spans="1:11" s="52" customFormat="1" ht="15" customHeight="1">
      <c r="A40" s="87" t="s">
        <v>283</v>
      </c>
      <c r="B40" s="96">
        <f>IF(OR(Direktvermarktung="ja",Einspeisung="nein"),0,IF(IBNJahr=2011,eegSatz2011,IF(IBNJahr=2012,IF(IBNMonat&lt;4,eegSatz2012,IF(IBNMonat&lt;11,eegSatz2012b*0.99^(IBNMonat-4),eegSatz2012b*0.99^6*0.975^(IBNMonat-10))),IF(IBNJahr=2013,eegSatz2013,IF(IBNJahr=2014,eegSatz2014,IF(IBNJahr=2015,eegSatz2015,IF(IBNJahr=2016,EEGSatz2016,IF(IBNJahr=2017,eegSatz2017))))))))</f>
        <v>0.12314028578916483</v>
      </c>
      <c r="C40" s="88" t="s">
        <v>66</v>
      </c>
      <c r="D40" s="89"/>
      <c r="E40" s="88"/>
      <c r="J40" s="119"/>
      <c r="K40" s="162"/>
    </row>
    <row r="41" spans="1:11" s="52" customFormat="1" ht="15" customHeight="1">
      <c r="A41" s="87" t="s">
        <v>49</v>
      </c>
      <c r="B41" s="96">
        <f>IF(IBNJahr=2011,IF((Eigennutzung+EigennutzungSpeicher)&lt;30%,Vergütung!A4,(30%*Vergütung!A4+(Eigennutzung+EigennutzungSpeicher-30%)*Vergütung!A5)/(Eigennutzung+EigennutzungSpeicher)),IF(IBNJahr=2012,IF(IBNMonat&lt;4,IF((Eigennutzung+EigennutzungSpeicher)&lt;30%,Vergütung!B4,(30%*Vergütung!B4+(Eigennutzung+EigennutzungSpeicher-30%)*Vergütung!B5)/(Eigennutzung+EigennutzungSpeicher)),0),IF(IBNJahr&gt;2012,0)))</f>
        <v>0</v>
      </c>
      <c r="D41" s="89"/>
      <c r="E41" s="88"/>
      <c r="J41" s="119"/>
      <c r="K41" s="162"/>
    </row>
    <row r="42" spans="1:11" s="52" customFormat="1" ht="15" customHeight="1">
      <c r="A42" s="87"/>
      <c r="D42" s="89"/>
      <c r="E42" s="88"/>
      <c r="J42" s="119"/>
      <c r="K42" s="162"/>
    </row>
    <row r="43" spans="1:11" s="52" customFormat="1" ht="15" customHeight="1">
      <c r="A43" s="79" t="s">
        <v>40</v>
      </c>
      <c r="B43" s="97"/>
      <c r="D43" s="89"/>
      <c r="E43" s="88"/>
      <c r="J43" s="119"/>
      <c r="K43" s="162"/>
    </row>
    <row r="44" spans="1:11" s="52" customFormat="1" ht="15" customHeight="1">
      <c r="A44" s="87" t="s">
        <v>25</v>
      </c>
      <c r="B44" s="35">
        <v>0</v>
      </c>
      <c r="C44" s="88" t="s">
        <v>20</v>
      </c>
      <c r="D44" s="217">
        <f>(Anlagenpreis-Kredit1)/Anlagenpreis</f>
        <v>1</v>
      </c>
      <c r="E44" s="88" t="s">
        <v>115</v>
      </c>
      <c r="J44" s="119"/>
      <c r="K44" s="162"/>
    </row>
    <row r="45" spans="1:10" ht="15" customHeight="1">
      <c r="A45" s="98" t="s">
        <v>31</v>
      </c>
      <c r="B45" s="38">
        <v>1</v>
      </c>
      <c r="D45" s="190"/>
      <c r="J45" s="119"/>
    </row>
    <row r="46" spans="1:10" ht="15" customHeight="1">
      <c r="A46" s="98" t="s">
        <v>34</v>
      </c>
      <c r="B46" s="37">
        <v>0.0025</v>
      </c>
      <c r="J46" s="119"/>
    </row>
    <row r="47" spans="1:11" s="52" customFormat="1" ht="15" customHeight="1">
      <c r="A47" s="98" t="s">
        <v>36</v>
      </c>
      <c r="B47" s="37">
        <v>0.0335</v>
      </c>
      <c r="C47" s="88" t="s">
        <v>1</v>
      </c>
      <c r="D47" s="99" t="s">
        <v>313</v>
      </c>
      <c r="E47" s="88"/>
      <c r="F47" s="88" t="s">
        <v>110</v>
      </c>
      <c r="J47" s="119"/>
      <c r="K47" s="162"/>
    </row>
    <row r="48" spans="1:11" s="52" customFormat="1" ht="15" customHeight="1">
      <c r="A48" s="98" t="s">
        <v>114</v>
      </c>
      <c r="B48" s="35">
        <v>10</v>
      </c>
      <c r="C48" s="88"/>
      <c r="D48" s="89"/>
      <c r="E48" s="88"/>
      <c r="J48" s="119"/>
      <c r="K48" s="162"/>
    </row>
    <row r="49" spans="1:10" ht="15" customHeight="1">
      <c r="A49" s="98" t="s">
        <v>44</v>
      </c>
      <c r="B49" s="37">
        <v>0.05</v>
      </c>
      <c r="C49" s="88" t="s">
        <v>1</v>
      </c>
      <c r="J49" s="119"/>
    </row>
    <row r="50" spans="1:10" ht="15" customHeight="1">
      <c r="A50" s="98" t="s">
        <v>32</v>
      </c>
      <c r="B50" s="40">
        <v>10</v>
      </c>
      <c r="C50" s="100" t="s">
        <v>22</v>
      </c>
      <c r="J50" s="119"/>
    </row>
    <row r="51" spans="1:10" ht="15" customHeight="1">
      <c r="A51" s="98" t="s">
        <v>33</v>
      </c>
      <c r="B51" s="40">
        <v>2</v>
      </c>
      <c r="C51" s="100" t="s">
        <v>22</v>
      </c>
      <c r="J51" s="119"/>
    </row>
    <row r="52" spans="1:10" ht="15" customHeight="1">
      <c r="A52" s="87" t="s">
        <v>29</v>
      </c>
      <c r="B52" s="35">
        <v>0</v>
      </c>
      <c r="C52" s="88" t="s">
        <v>20</v>
      </c>
      <c r="J52" s="119"/>
    </row>
    <row r="53" spans="1:10" ht="15" customHeight="1">
      <c r="A53" s="98" t="s">
        <v>30</v>
      </c>
      <c r="B53" s="36">
        <v>0.05</v>
      </c>
      <c r="C53" s="88" t="s">
        <v>1</v>
      </c>
      <c r="J53" s="119"/>
    </row>
    <row r="54" spans="1:10" ht="15" customHeight="1">
      <c r="A54" s="98" t="s">
        <v>32</v>
      </c>
      <c r="B54" s="40">
        <v>15</v>
      </c>
      <c r="C54" s="100" t="s">
        <v>22</v>
      </c>
      <c r="J54" s="119"/>
    </row>
    <row r="55" spans="1:10" ht="15" customHeight="1">
      <c r="A55" s="98" t="s">
        <v>33</v>
      </c>
      <c r="B55" s="40">
        <v>0</v>
      </c>
      <c r="C55" s="100" t="s">
        <v>22</v>
      </c>
      <c r="J55" s="119"/>
    </row>
    <row r="56" spans="3:10" ht="15" customHeight="1">
      <c r="C56" s="100"/>
      <c r="J56" s="119"/>
    </row>
    <row r="57" spans="1:10" ht="15" customHeight="1">
      <c r="A57" s="79" t="s">
        <v>41</v>
      </c>
      <c r="C57" s="100"/>
      <c r="J57" s="119"/>
    </row>
    <row r="58" spans="1:11" s="52" customFormat="1" ht="15" customHeight="1">
      <c r="A58" s="87" t="s">
        <v>0</v>
      </c>
      <c r="B58" s="36">
        <v>0.015</v>
      </c>
      <c r="C58" s="88" t="s">
        <v>1</v>
      </c>
      <c r="D58" s="89"/>
      <c r="E58" s="88"/>
      <c r="J58" s="119"/>
      <c r="K58" s="162"/>
    </row>
    <row r="59" spans="1:11" s="52" customFormat="1" ht="15" customHeight="1">
      <c r="A59" s="87" t="s">
        <v>42</v>
      </c>
      <c r="B59" s="36">
        <v>0.03</v>
      </c>
      <c r="C59" s="88" t="s">
        <v>1</v>
      </c>
      <c r="D59" s="89"/>
      <c r="E59" s="88"/>
      <c r="J59" s="119"/>
      <c r="K59" s="162"/>
    </row>
    <row r="60" spans="1:11" s="52" customFormat="1" ht="15" customHeight="1">
      <c r="A60" s="87" t="s">
        <v>78</v>
      </c>
      <c r="B60" s="36">
        <f>Inflationsrate</f>
        <v>0.015</v>
      </c>
      <c r="C60" s="88" t="s">
        <v>1</v>
      </c>
      <c r="D60" s="89"/>
      <c r="E60" s="88"/>
      <c r="J60" s="119"/>
      <c r="K60" s="162"/>
    </row>
    <row r="61" spans="1:11" s="52" customFormat="1" ht="15" customHeight="1">
      <c r="A61" s="87" t="s">
        <v>287</v>
      </c>
      <c r="B61" s="183">
        <v>3500</v>
      </c>
      <c r="C61" s="88" t="s">
        <v>47</v>
      </c>
      <c r="D61" s="89"/>
      <c r="E61" s="88"/>
      <c r="J61" s="119"/>
      <c r="K61" s="162"/>
    </row>
    <row r="62" spans="1:11" s="52" customFormat="1" ht="15" customHeight="1">
      <c r="A62" s="87" t="s">
        <v>288</v>
      </c>
      <c r="B62" s="183">
        <v>80</v>
      </c>
      <c r="C62" s="88" t="s">
        <v>286</v>
      </c>
      <c r="D62" s="89"/>
      <c r="E62" s="88"/>
      <c r="J62" s="119"/>
      <c r="K62" s="162"/>
    </row>
    <row r="63" spans="1:11" s="52" customFormat="1" ht="15" customHeight="1">
      <c r="A63" s="87" t="s">
        <v>77</v>
      </c>
      <c r="B63" s="41">
        <v>0.24</v>
      </c>
      <c r="C63" s="88" t="s">
        <v>66</v>
      </c>
      <c r="D63" s="220" t="s">
        <v>129</v>
      </c>
      <c r="E63" s="210">
        <f>StrompreisNetto*1.19</f>
        <v>0.28559999999999997</v>
      </c>
      <c r="F63" s="88" t="s">
        <v>130</v>
      </c>
      <c r="J63" s="119"/>
      <c r="K63" s="162"/>
    </row>
    <row r="64" spans="1:11" s="52" customFormat="1" ht="15" customHeight="1">
      <c r="A64" s="87" t="s">
        <v>98</v>
      </c>
      <c r="B64" s="41">
        <v>0.03</v>
      </c>
      <c r="C64" s="88" t="s">
        <v>66</v>
      </c>
      <c r="D64" s="89"/>
      <c r="E64" s="88"/>
      <c r="J64" s="119"/>
      <c r="K64" s="162"/>
    </row>
    <row r="65" spans="1:11" s="52" customFormat="1" ht="15" customHeight="1">
      <c r="A65" s="87" t="s">
        <v>38</v>
      </c>
      <c r="B65" s="36">
        <v>0.02</v>
      </c>
      <c r="C65" s="88" t="s">
        <v>1</v>
      </c>
      <c r="D65" s="89"/>
      <c r="E65" s="88"/>
      <c r="J65" s="119"/>
      <c r="K65" s="162"/>
    </row>
    <row r="66" spans="1:11" s="52" customFormat="1" ht="15" customHeight="1">
      <c r="A66" s="87" t="s">
        <v>281</v>
      </c>
      <c r="B66" s="39" t="s">
        <v>65</v>
      </c>
      <c r="C66" s="88"/>
      <c r="D66" s="89"/>
      <c r="E66" s="88"/>
      <c r="J66" s="119"/>
      <c r="K66" s="162"/>
    </row>
    <row r="67" spans="1:11" s="52" customFormat="1" ht="15" customHeight="1">
      <c r="A67" s="87" t="s">
        <v>246</v>
      </c>
      <c r="B67" s="196">
        <f>VLOOKUP(IBNJahr,E76:F82,2,TRUE)</f>
        <v>0.06354</v>
      </c>
      <c r="C67" s="88" t="s">
        <v>66</v>
      </c>
      <c r="D67" s="217">
        <f>IF(kWp&lt;=10,0,IF(AND(IBNJahr&lt;2014,IBNMonat&lt;8),0,40%))</f>
        <v>0</v>
      </c>
      <c r="E67" s="211">
        <f>D67*eegUmlage</f>
        <v>0</v>
      </c>
      <c r="F67" s="88" t="s">
        <v>247</v>
      </c>
      <c r="J67" s="119"/>
      <c r="K67" s="162"/>
    </row>
    <row r="68" spans="1:11" s="52" customFormat="1" ht="15" customHeight="1">
      <c r="A68" s="87" t="s">
        <v>43</v>
      </c>
      <c r="B68" s="39">
        <v>0.3</v>
      </c>
      <c r="C68" s="88"/>
      <c r="D68" s="89"/>
      <c r="E68" s="88"/>
      <c r="F68" s="86"/>
      <c r="J68" s="119"/>
      <c r="K68" s="162"/>
    </row>
    <row r="69" spans="1:11" s="52" customFormat="1" ht="15" customHeight="1">
      <c r="A69" s="87" t="s">
        <v>24</v>
      </c>
      <c r="B69" s="39">
        <v>0.3</v>
      </c>
      <c r="C69" s="88"/>
      <c r="D69" s="89"/>
      <c r="E69" s="88"/>
      <c r="F69" s="86"/>
      <c r="J69" s="119"/>
      <c r="K69" s="162"/>
    </row>
    <row r="70" spans="1:11" s="52" customFormat="1" ht="15" customHeight="1">
      <c r="A70" s="87" t="s">
        <v>50</v>
      </c>
      <c r="B70" s="39">
        <v>0</v>
      </c>
      <c r="C70" s="88"/>
      <c r="D70" s="89"/>
      <c r="E70" s="88"/>
      <c r="F70" s="86"/>
      <c r="J70" s="119"/>
      <c r="K70" s="162"/>
    </row>
    <row r="71" spans="1:11" s="52" customFormat="1" ht="15" customHeight="1">
      <c r="A71" s="87" t="s">
        <v>112</v>
      </c>
      <c r="B71" s="37" t="s">
        <v>65</v>
      </c>
      <c r="C71" s="86"/>
      <c r="D71" s="50"/>
      <c r="E71" s="88"/>
      <c r="F71" s="86"/>
      <c r="J71" s="119"/>
      <c r="K71" s="162"/>
    </row>
    <row r="72" spans="1:11" s="52" customFormat="1" ht="15" customHeight="1">
      <c r="A72" s="87" t="s">
        <v>113</v>
      </c>
      <c r="B72" s="39" t="s">
        <v>65</v>
      </c>
      <c r="C72" s="86"/>
      <c r="D72" s="50"/>
      <c r="E72" s="88"/>
      <c r="F72" s="86"/>
      <c r="J72" s="119"/>
      <c r="K72" s="162"/>
    </row>
    <row r="73" spans="3:11" s="52" customFormat="1" ht="15" customHeight="1">
      <c r="C73" s="88"/>
      <c r="D73" s="89"/>
      <c r="E73" s="88"/>
      <c r="F73" s="86"/>
      <c r="J73" s="119"/>
      <c r="K73" s="162"/>
    </row>
    <row r="74" spans="1:10" ht="8.25" customHeight="1">
      <c r="A74" s="107"/>
      <c r="B74" s="108"/>
      <c r="C74" s="108"/>
      <c r="D74" s="108"/>
      <c r="E74" s="212"/>
      <c r="F74" s="108"/>
      <c r="G74" s="108"/>
      <c r="H74" s="108"/>
      <c r="I74" s="108"/>
      <c r="J74" s="119"/>
    </row>
    <row r="75" spans="1:7" ht="15" customHeight="1">
      <c r="A75" s="101" t="s">
        <v>135</v>
      </c>
      <c r="B75" s="51"/>
      <c r="C75" s="72"/>
      <c r="D75" s="72"/>
      <c r="E75" s="101"/>
      <c r="F75" s="194" t="s">
        <v>280</v>
      </c>
      <c r="G75" s="192" t="s">
        <v>285</v>
      </c>
    </row>
    <row r="76" spans="1:7" ht="15" customHeight="1">
      <c r="A76" s="51"/>
      <c r="B76" s="49">
        <v>0</v>
      </c>
      <c r="C76" s="48" t="s">
        <v>111</v>
      </c>
      <c r="D76" s="221">
        <v>0</v>
      </c>
      <c r="E76" s="213">
        <v>2011</v>
      </c>
      <c r="F76" s="195">
        <v>0.0353</v>
      </c>
      <c r="G76" s="193">
        <v>1</v>
      </c>
    </row>
    <row r="77" spans="1:7" ht="15" customHeight="1">
      <c r="A77" s="51"/>
      <c r="B77" s="49">
        <v>1</v>
      </c>
      <c r="C77" s="48" t="s">
        <v>65</v>
      </c>
      <c r="D77" s="221">
        <v>0.19</v>
      </c>
      <c r="E77" s="213">
        <f>E76+1</f>
        <v>2012</v>
      </c>
      <c r="F77" s="195">
        <v>0.03592</v>
      </c>
      <c r="G77" s="193">
        <f>G76+1</f>
        <v>2</v>
      </c>
    </row>
    <row r="78" spans="1:7" ht="15" customHeight="1">
      <c r="A78" s="82"/>
      <c r="B78" s="49">
        <v>2</v>
      </c>
      <c r="C78" s="48"/>
      <c r="D78" s="222"/>
      <c r="E78" s="213">
        <f>E77+1</f>
        <v>2013</v>
      </c>
      <c r="F78" s="195">
        <v>0.05277</v>
      </c>
      <c r="G78" s="193">
        <f>G77+1</f>
        <v>3</v>
      </c>
    </row>
    <row r="79" spans="2:7" ht="15" customHeight="1">
      <c r="B79" s="48"/>
      <c r="C79" s="48"/>
      <c r="D79" s="222"/>
      <c r="E79" s="213">
        <f>E78+1</f>
        <v>2014</v>
      </c>
      <c r="F79" s="195">
        <v>0.0624</v>
      </c>
      <c r="G79" s="193">
        <f>G78+1</f>
        <v>4</v>
      </c>
    </row>
    <row r="80" spans="2:8" ht="15" customHeight="1">
      <c r="B80" s="73"/>
      <c r="C80" s="48"/>
      <c r="D80" s="222"/>
      <c r="E80" s="213">
        <f>E79+1</f>
        <v>2015</v>
      </c>
      <c r="F80" s="195">
        <v>0.0617</v>
      </c>
      <c r="G80" s="193">
        <f aca="true" t="shared" si="0" ref="G80:G87">G79+1</f>
        <v>5</v>
      </c>
      <c r="H80" s="190"/>
    </row>
    <row r="81" spans="2:8" ht="15" customHeight="1">
      <c r="B81" s="73"/>
      <c r="C81" s="48"/>
      <c r="D81" s="222"/>
      <c r="E81" s="213">
        <v>2016</v>
      </c>
      <c r="F81" s="195">
        <v>0.06354</v>
      </c>
      <c r="G81" s="193">
        <f t="shared" si="0"/>
        <v>6</v>
      </c>
      <c r="H81" s="191"/>
    </row>
    <row r="82" spans="2:7" ht="15" customHeight="1">
      <c r="B82" s="48"/>
      <c r="C82" s="48"/>
      <c r="D82" s="222"/>
      <c r="E82" s="213">
        <v>2017</v>
      </c>
      <c r="F82" s="195">
        <v>0.0688</v>
      </c>
      <c r="G82" s="193">
        <f t="shared" si="0"/>
        <v>7</v>
      </c>
    </row>
    <row r="83" spans="2:7" ht="15" customHeight="1">
      <c r="B83" s="48"/>
      <c r="C83" s="48"/>
      <c r="D83" s="222"/>
      <c r="E83" s="214"/>
      <c r="G83" s="193">
        <f t="shared" si="0"/>
        <v>8</v>
      </c>
    </row>
    <row r="84" spans="2:7" ht="15" customHeight="1">
      <c r="B84" s="52"/>
      <c r="C84" s="52"/>
      <c r="D84" s="89"/>
      <c r="E84" s="214"/>
      <c r="G84" s="193">
        <f t="shared" si="0"/>
        <v>9</v>
      </c>
    </row>
    <row r="85" spans="2:7" ht="15" customHeight="1">
      <c r="B85" s="48"/>
      <c r="C85" s="48"/>
      <c r="D85" s="222"/>
      <c r="E85" s="214"/>
      <c r="G85" s="193">
        <f t="shared" si="0"/>
        <v>10</v>
      </c>
    </row>
    <row r="86" spans="2:7" ht="15" customHeight="1">
      <c r="B86" s="48"/>
      <c r="C86" s="48"/>
      <c r="D86" s="222"/>
      <c r="E86" s="214"/>
      <c r="G86" s="193">
        <f t="shared" si="0"/>
        <v>11</v>
      </c>
    </row>
    <row r="87" spans="2:7" ht="15" customHeight="1">
      <c r="B87" s="48"/>
      <c r="C87" s="48"/>
      <c r="D87" s="222"/>
      <c r="E87" s="214"/>
      <c r="G87" s="193">
        <f t="shared" si="0"/>
        <v>12</v>
      </c>
    </row>
  </sheetData>
  <sheetProtection sheet="1"/>
  <dataValidations count="5">
    <dataValidation type="list" allowBlank="1" showInputMessage="1" showErrorMessage="1" sqref="B71:B72 B66 B35:B38">
      <formula1>$C$76:$C$77</formula1>
    </dataValidation>
    <dataValidation type="list" allowBlank="1" showInputMessage="1" showErrorMessage="1" sqref="B19">
      <formula1>$B$76:$B$77</formula1>
    </dataValidation>
    <dataValidation type="list" allowBlank="1" showInputMessage="1" showErrorMessage="1" sqref="B34">
      <formula1>$G$76:$G$87</formula1>
    </dataValidation>
    <dataValidation type="list" allowBlank="1" sqref="B33">
      <formula1>$E$76:$E$82</formula1>
    </dataValidation>
    <dataValidation type="list" allowBlank="1" showInputMessage="1" showErrorMessage="1" sqref="B20">
      <formula1>$B$77:$B$78</formula1>
    </dataValidation>
  </dataValidations>
  <hyperlinks>
    <hyperlink ref="D47" r:id="rId1" display="Konditionen"/>
    <hyperlink ref="E27" r:id="rId2" display="PVGIS"/>
    <hyperlink ref="E23" r:id="rId3" display="Zuschuss"/>
  </hyperlinks>
  <printOptions verticalCentered="1"/>
  <pageMargins left="0.7874015748031497" right="0.3937007874015748" top="0.7874015748031497" bottom="0.7874015748031497" header="0.5118110236220472" footer="0.5118110236220472"/>
  <pageSetup fitToHeight="1" fitToWidth="1" horizontalDpi="300" verticalDpi="300" orientation="portrait" paperSize="9" scale="68" r:id="rId7"/>
  <headerFooter scaleWithDoc="0" alignWithMargins="0">
    <oddHeader>&amp;C&amp;F</oddHeader>
    <oddFooter>&amp;C&amp;A</oddFooter>
  </headerFooter>
  <drawing r:id="rId6"/>
  <legacyDrawing r:id="rId5"/>
</worksheet>
</file>

<file path=xl/worksheets/sheet3.xml><?xml version="1.0" encoding="utf-8"?>
<worksheet xmlns="http://schemas.openxmlformats.org/spreadsheetml/2006/main" xmlns:r="http://schemas.openxmlformats.org/officeDocument/2006/relationships">
  <dimension ref="A1:AE35"/>
  <sheetViews>
    <sheetView zoomScalePageLayoutView="0" workbookViewId="0" topLeftCell="A1">
      <selection activeCell="I9" sqref="I9"/>
    </sheetView>
  </sheetViews>
  <sheetFormatPr defaultColWidth="10.421875" defaultRowHeight="12.75"/>
  <cols>
    <col min="1" max="1" width="4.421875" style="2" customWidth="1"/>
    <col min="2" max="2" width="6.421875" style="2" customWidth="1"/>
    <col min="3" max="3" width="10.28125" style="2" customWidth="1"/>
    <col min="4" max="11" width="10.421875" style="3" customWidth="1"/>
    <col min="12" max="12" width="10.421875" style="4" customWidth="1"/>
    <col min="13" max="13" width="10.421875" style="18" customWidth="1"/>
    <col min="14" max="14" width="10.421875" style="3" customWidth="1"/>
    <col min="15" max="16" width="10.421875" style="4" customWidth="1"/>
    <col min="17" max="17" width="10.421875" style="18" customWidth="1"/>
    <col min="18" max="20" width="10.421875" style="3" customWidth="1"/>
    <col min="21" max="21" width="10.421875" style="18" customWidth="1"/>
    <col min="22" max="25" width="10.421875" style="3" customWidth="1"/>
    <col min="26" max="26" width="10.421875" style="5" customWidth="1"/>
    <col min="27" max="27" width="10.421875" style="2" customWidth="1"/>
    <col min="28" max="28" width="10.421875" style="3" customWidth="1"/>
    <col min="29" max="29" width="10.421875" style="2" customWidth="1"/>
    <col min="30" max="30" width="3.00390625" style="120" customWidth="1"/>
    <col min="31" max="16384" width="10.421875" style="120" customWidth="1"/>
  </cols>
  <sheetData>
    <row r="1" spans="1:29" s="123" customFormat="1" ht="17.25" customHeight="1">
      <c r="A1" s="53" t="str">
        <f>Parameter!A1</f>
        <v>Wirtschaftlichkeit von Solarstrom</v>
      </c>
      <c r="B1" s="54"/>
      <c r="C1" s="54"/>
      <c r="D1" s="54"/>
      <c r="E1" s="54"/>
      <c r="F1" s="54"/>
      <c r="G1" s="54"/>
      <c r="H1" s="54"/>
      <c r="I1" s="54"/>
      <c r="J1" s="54"/>
      <c r="K1" s="54"/>
      <c r="L1" s="54"/>
      <c r="M1" s="113"/>
      <c r="N1" s="114"/>
      <c r="O1" s="114"/>
      <c r="P1" s="114"/>
      <c r="Q1" s="115"/>
      <c r="R1" s="114"/>
      <c r="S1" s="114"/>
      <c r="T1" s="114"/>
      <c r="U1" s="115"/>
      <c r="V1" s="114"/>
      <c r="W1" s="116"/>
      <c r="X1" s="116"/>
      <c r="Y1" s="116"/>
      <c r="Z1" s="116"/>
      <c r="AA1" s="116"/>
      <c r="AB1" s="117"/>
      <c r="AC1" s="116"/>
    </row>
    <row r="2" spans="1:29" s="124" customFormat="1" ht="12.75">
      <c r="A2" s="54" t="str">
        <f>ProgVersion</f>
        <v>Stand: 17.11.2016</v>
      </c>
      <c r="B2" s="54"/>
      <c r="C2" s="54"/>
      <c r="D2" s="55"/>
      <c r="E2" s="55"/>
      <c r="F2" s="172">
        <f>(Eigennutzung+BatteriespeicherJN*EigennutzungSpeicher)</f>
        <v>0.6000000000000001</v>
      </c>
      <c r="G2" s="173" t="s">
        <v>275</v>
      </c>
      <c r="H2" s="173"/>
      <c r="I2" s="55"/>
      <c r="J2" s="55"/>
      <c r="K2" s="55"/>
      <c r="L2" s="55"/>
      <c r="M2" s="56"/>
      <c r="N2" s="57"/>
      <c r="O2" s="57"/>
      <c r="P2" s="57"/>
      <c r="Q2" s="58"/>
      <c r="R2" s="57"/>
      <c r="S2" s="57"/>
      <c r="T2" s="57"/>
      <c r="U2" s="58"/>
      <c r="V2" s="57"/>
      <c r="W2" s="59"/>
      <c r="X2" s="59"/>
      <c r="Y2" s="59"/>
      <c r="Z2" s="59"/>
      <c r="AA2" s="59"/>
      <c r="AB2" s="60"/>
      <c r="AC2" s="59"/>
    </row>
    <row r="3" spans="1:29" s="124" customFormat="1" ht="12.75">
      <c r="A3" s="54"/>
      <c r="B3" s="54"/>
      <c r="C3" s="54"/>
      <c r="D3" s="55"/>
      <c r="E3" s="55"/>
      <c r="F3" s="172">
        <f>Eigennutzung+BatteriespeicherJN*EigennutzungSpeicher*(1-IF(Batterietyp=1,Parameter!B$31,Parameter!B$32))</f>
        <v>0.56</v>
      </c>
      <c r="G3" s="173" t="s">
        <v>293</v>
      </c>
      <c r="H3" s="173"/>
      <c r="J3" s="55"/>
      <c r="K3" s="55"/>
      <c r="L3" s="55"/>
      <c r="M3" s="56"/>
      <c r="N3" s="57"/>
      <c r="O3" s="57"/>
      <c r="P3" s="57"/>
      <c r="Q3" s="58"/>
      <c r="R3" s="57"/>
      <c r="S3" s="57"/>
      <c r="T3" s="57"/>
      <c r="U3" s="58"/>
      <c r="V3" s="57"/>
      <c r="W3" s="59"/>
      <c r="X3" s="59"/>
      <c r="Y3" s="59"/>
      <c r="Z3" s="59"/>
      <c r="AA3" s="59"/>
      <c r="AB3" s="60"/>
      <c r="AC3" s="59"/>
    </row>
    <row r="4" spans="1:29" s="124" customFormat="1" ht="12.75">
      <c r="A4" s="59"/>
      <c r="B4" s="54"/>
      <c r="C4" s="54"/>
      <c r="D4" s="55"/>
      <c r="E4" s="55"/>
      <c r="F4" s="172"/>
      <c r="G4" s="173"/>
      <c r="H4" s="173"/>
      <c r="I4" s="197"/>
      <c r="J4" s="55"/>
      <c r="K4" s="55"/>
      <c r="L4" s="55"/>
      <c r="M4" s="56"/>
      <c r="N4" s="57"/>
      <c r="O4" s="57"/>
      <c r="P4" s="57"/>
      <c r="Q4" s="58"/>
      <c r="R4" s="57"/>
      <c r="S4" s="57"/>
      <c r="T4" s="57">
        <f>BatteriespeicherJN</f>
        <v>1</v>
      </c>
      <c r="U4" s="58"/>
      <c r="V4" s="57"/>
      <c r="W4" s="59"/>
      <c r="X4" s="59"/>
      <c r="Y4" s="59"/>
      <c r="Z4" s="59"/>
      <c r="AA4" s="59"/>
      <c r="AB4" s="60"/>
      <c r="AC4" s="59"/>
    </row>
    <row r="5" spans="1:29" s="123" customFormat="1" ht="12.75">
      <c r="A5" s="175"/>
      <c r="B5" s="175"/>
      <c r="C5" s="176" t="s">
        <v>82</v>
      </c>
      <c r="D5" s="176" t="s">
        <v>83</v>
      </c>
      <c r="E5" s="176" t="s">
        <v>100</v>
      </c>
      <c r="F5" s="176" t="s">
        <v>86</v>
      </c>
      <c r="G5" s="176"/>
      <c r="H5" s="176"/>
      <c r="I5" s="176" t="s">
        <v>11</v>
      </c>
      <c r="J5" s="176" t="s">
        <v>46</v>
      </c>
      <c r="K5" s="176" t="s">
        <v>25</v>
      </c>
      <c r="L5" s="176"/>
      <c r="M5" s="177"/>
      <c r="N5" s="176" t="s">
        <v>26</v>
      </c>
      <c r="O5" s="176"/>
      <c r="P5" s="176"/>
      <c r="Q5" s="177"/>
      <c r="R5" s="176" t="s">
        <v>8</v>
      </c>
      <c r="S5" s="176" t="s">
        <v>52</v>
      </c>
      <c r="T5" s="176" t="s">
        <v>35</v>
      </c>
      <c r="U5" s="177" t="s">
        <v>15</v>
      </c>
      <c r="V5" s="176" t="s">
        <v>7</v>
      </c>
      <c r="W5" s="176" t="s">
        <v>96</v>
      </c>
      <c r="X5" s="176" t="s">
        <v>94</v>
      </c>
      <c r="Y5" s="176" t="s">
        <v>6</v>
      </c>
      <c r="Z5" s="176" t="s">
        <v>14</v>
      </c>
      <c r="AA5" s="175" t="s">
        <v>23</v>
      </c>
      <c r="AB5" s="175" t="s">
        <v>108</v>
      </c>
      <c r="AC5" s="175" t="s">
        <v>109</v>
      </c>
    </row>
    <row r="6" spans="1:29" s="123" customFormat="1" ht="12.75">
      <c r="A6" s="178" t="s">
        <v>2</v>
      </c>
      <c r="B6" s="178"/>
      <c r="C6" s="179" t="s">
        <v>47</v>
      </c>
      <c r="D6" s="178" t="s">
        <v>84</v>
      </c>
      <c r="E6" s="178" t="s">
        <v>99</v>
      </c>
      <c r="F6" s="179" t="s">
        <v>106</v>
      </c>
      <c r="G6" s="179" t="s">
        <v>280</v>
      </c>
      <c r="H6" s="179" t="s">
        <v>197</v>
      </c>
      <c r="I6" s="178" t="s">
        <v>12</v>
      </c>
      <c r="J6" s="178"/>
      <c r="K6" s="178" t="s">
        <v>3</v>
      </c>
      <c r="L6" s="178" t="s">
        <v>18</v>
      </c>
      <c r="M6" s="180" t="s">
        <v>16</v>
      </c>
      <c r="N6" s="178" t="s">
        <v>28</v>
      </c>
      <c r="O6" s="178" t="s">
        <v>3</v>
      </c>
      <c r="P6" s="178" t="s">
        <v>18</v>
      </c>
      <c r="Q6" s="180" t="s">
        <v>16</v>
      </c>
      <c r="R6" s="178" t="s">
        <v>4</v>
      </c>
      <c r="S6" s="178" t="s">
        <v>51</v>
      </c>
      <c r="T6" s="179"/>
      <c r="U6" s="181"/>
      <c r="V6" s="178" t="s">
        <v>4</v>
      </c>
      <c r="W6" s="178" t="s">
        <v>97</v>
      </c>
      <c r="X6" s="178" t="s">
        <v>95</v>
      </c>
      <c r="Y6" s="178" t="s">
        <v>13</v>
      </c>
      <c r="Z6" s="178"/>
      <c r="AA6" s="179"/>
      <c r="AB6" s="178" t="s">
        <v>274</v>
      </c>
      <c r="AC6" s="178" t="s">
        <v>274</v>
      </c>
    </row>
    <row r="7" spans="1:29" s="125" customFormat="1" ht="12.75">
      <c r="A7" s="11">
        <v>-1</v>
      </c>
      <c r="B7" s="11"/>
      <c r="C7" s="11"/>
      <c r="D7" s="11"/>
      <c r="E7" s="133"/>
      <c r="F7" s="9"/>
      <c r="G7" s="11"/>
      <c r="H7" s="11"/>
      <c r="I7" s="10"/>
      <c r="J7" s="10"/>
      <c r="K7" s="7"/>
      <c r="L7" s="8"/>
      <c r="M7" s="16">
        <f>Kredit1</f>
        <v>0</v>
      </c>
      <c r="N7" s="11"/>
      <c r="O7" s="8"/>
      <c r="P7" s="8"/>
      <c r="Q7" s="16">
        <f>Kredit2</f>
        <v>0</v>
      </c>
      <c r="R7" s="11"/>
      <c r="S7" s="11">
        <f>-AnlagenpreisPV*Investitionsabzug</f>
        <v>0</v>
      </c>
      <c r="T7" s="10"/>
      <c r="U7" s="16">
        <f>AnlagenpreisPV*IF(Kleinunternehmer="ja",1.19,1)</f>
        <v>6000</v>
      </c>
      <c r="V7" s="9"/>
      <c r="W7" s="11">
        <f>-S7*Steuersatz1</f>
        <v>0</v>
      </c>
      <c r="X7" s="11"/>
      <c r="Y7" s="11">
        <f>R7+W7</f>
        <v>0</v>
      </c>
      <c r="Z7" s="11">
        <f>Y7</f>
        <v>0</v>
      </c>
      <c r="AA7" s="11">
        <f>Z7</f>
        <v>0</v>
      </c>
      <c r="AB7" s="7"/>
      <c r="AC7" s="9"/>
    </row>
    <row r="8" spans="1:29" s="126" customFormat="1" ht="12.75">
      <c r="A8" s="11">
        <v>0</v>
      </c>
      <c r="B8" s="47">
        <f>IBNJahr</f>
        <v>2016</v>
      </c>
      <c r="C8" s="11">
        <f>Solarertrag1*Stromertrag*kWp</f>
        <v>104.5</v>
      </c>
      <c r="D8" s="11">
        <f>C8*(eegSatz2*$F$2+eegSatz1*(1-$F$2))*IF(OR(Direktvermarktung="ja",Einspeisung="nein"),0,IF(AND(IBNJahr&gt;2015,kWp&gt;100),100/kWp,IF(AND(IBNJahr&lt;2015,DATE(IBNJahr,IBNMonat,1)&gt;DATE(2014,7,31)),500/kWp,1)))</f>
        <v>5.147263945987088</v>
      </c>
      <c r="E8" s="11">
        <f aca="true" t="shared" si="0" ref="E8:E28">(1-$F$2)*StromerlösDirektvermarktung*C8*(1+Strompreissteigerung)^A8*IF(Direktvermarktung="ja",1,IF(AND(IBNJahr&gt;2015,kWp&gt;100),(kWp-100)/kWp,IF(AND(IBNJahr&gt;2014,kWp&gt;500),(kWp-500)/kWp,0)))</f>
        <v>0</v>
      </c>
      <c r="F8" s="11">
        <f aca="true" t="shared" si="1" ref="F8:F28">C8*F$3*StrompreisNetto*(1+Strompreissteigerung)^A8*IF(Gewerbe="ja",1,1.19)</f>
        <v>16.713312</v>
      </c>
      <c r="G8" s="11">
        <f aca="true" t="shared" si="2" ref="G8:G28">-F$2*IF(AND(IBNJahr=2014,DATE(IBNJahr,IBNMonat,1)&lt;DATE(2014,8,1)),0,IF(kWp&lt;=10,0,IF(OR(Gewerbe="ja",Kleinunternehmer="ja"),1,1.19)*eegUmlage*C8*IF(B8&lt;2016,30%,IF(B8=2016,35%,40%))))</f>
        <v>0</v>
      </c>
      <c r="H8" s="11">
        <f>-$F$2*C8*(StrompreisNetto+Parameter!B$62/Parameter!B$61)*(1+Strompreissteigerung)^A8*IF(OR(Gewerbe="ja",Kleinunternehmer="ja"),0,0.19)</f>
        <v>-3.1314171428571433</v>
      </c>
      <c r="I8" s="11">
        <f>-LfdKosten*(13-IBNMonat)/12-IF(Kleinunternehmer="nein",Vorlaufkosten,0)</f>
        <v>-195</v>
      </c>
      <c r="J8" s="11">
        <f>-Dachmiete</f>
        <v>0</v>
      </c>
      <c r="K8" s="11">
        <f>-(13-IBNMonat)/12*M7*Zinssatz1</f>
        <v>0</v>
      </c>
      <c r="L8" s="11">
        <f aca="true" t="shared" si="3" ref="L8:L28">IF(OR(A8&gt;Laufzeit1,A8&lt;Tilgungsfrei1),0,IF(A8=Tilgungsfrei1,-M$7/(Laufzeit1-Tilgungsfrei1)*(13-IBNMonat)/12,IF(A8=Laufzeit1,-M$7/(Laufzeit1-Tilgungsfrei1)*(IBNMonat-1)/12,-M$7/(Laufzeit1-Tilgungsfrei1))))</f>
        <v>0</v>
      </c>
      <c r="M8" s="17">
        <f aca="true" t="shared" si="4" ref="M8:M18">M7+L8</f>
        <v>0</v>
      </c>
      <c r="N8" s="11">
        <f aca="true" t="shared" si="5" ref="N8:N28">IF(A8&lt;=Tilgungsfrei2,O8,IF(A8&gt;Laufzeit2,0,PMT(Zinssatz2,Laufzeit2-Tilgungsfrei2,Kredit2)))</f>
        <v>0</v>
      </c>
      <c r="O8" s="11">
        <f>-Q7*Zinssatz2*(13-IBNMonat)/12</f>
        <v>0</v>
      </c>
      <c r="P8" s="11">
        <f aca="true" t="shared" si="6" ref="P8:P28">IF(A8&lt;=Tilgungsfrei2,0,N8-O8)</f>
        <v>0</v>
      </c>
      <c r="Q8" s="17">
        <f>Q7+P8</f>
        <v>0</v>
      </c>
      <c r="R8" s="11">
        <f>-EigenkapitalZuAnfang+SUM(D8:L8)+N8-Bereitstellung1*Kredit1+IF(Kleinunternehmer="nein",AnlagenpreisPV*0.19,0)</f>
        <v>-12176.27084119687</v>
      </c>
      <c r="S8" s="11">
        <f>IF(Sonderabschreibung="ja",-U$7*0.19,0)</f>
        <v>0</v>
      </c>
      <c r="T8" s="10">
        <f>IF(DegressiveAbschreibung="ja",-U7*0.125*(13-IBNMonat)/12,-U$7*0.05*(13-IBNMonat)/12)</f>
        <v>-50</v>
      </c>
      <c r="U8" s="17">
        <f aca="true" t="shared" si="7" ref="U8:U13">U7+S8+T8</f>
        <v>5950</v>
      </c>
      <c r="V8" s="11">
        <f>IF(Parameter!B$37="nein",0,SUM(D8:K8)+O8+S8+T8+AnlagenpreisPV*Investitionsabzug-IF(Auszahlung1&lt;0.95,0.05*Kredit1,(1-Auszahlung1)*Kredit1))</f>
        <v>-226.27084119687007</v>
      </c>
      <c r="W8" s="11">
        <f aca="true" t="shared" si="8" ref="W8:W18">-V8*Steuersatz1</f>
        <v>67.88125235906102</v>
      </c>
      <c r="X8" s="11"/>
      <c r="Y8" s="11">
        <f>R8+X8+IF(Parameter!B$37="ja",W8,0)</f>
        <v>-12108.38958883781</v>
      </c>
      <c r="Z8" s="11">
        <f aca="true" t="shared" si="9" ref="Z8:Z28">Y8/(1+ZinssatzBarwert)^A8</f>
        <v>-12108.38958883781</v>
      </c>
      <c r="AA8" s="11">
        <f>AA7+Z8</f>
        <v>-12108.38958883781</v>
      </c>
      <c r="AB8" s="11">
        <f aca="true" t="shared" si="10" ref="AB8:AB28">-(I8+J8+X8)/(1+ZinssatzBarwert)^A8</f>
        <v>195</v>
      </c>
      <c r="AC8" s="10">
        <f aca="true" t="shared" si="11" ref="AC8:AC28">C8/(1+ZinssatzBarwert)^A8</f>
        <v>104.5</v>
      </c>
    </row>
    <row r="9" spans="1:29" s="124" customFormat="1" ht="12" customHeight="1">
      <c r="A9" s="11">
        <v>1</v>
      </c>
      <c r="B9" s="47">
        <f>B8+1</f>
        <v>2017</v>
      </c>
      <c r="C9" s="11">
        <f aca="true" t="shared" si="12" ref="C9:C27">Stromertrag*kWp*(1-Ertragsminderung)^A9</f>
        <v>3781</v>
      </c>
      <c r="D9" s="11">
        <f>C9*(eegSatz2*$F$2+eegSatz1*(1-$F$2))*IF(OR(Direktvermarktung="ja",Einspeisung="nein"),0,IF(AND(IBNJahr&gt;2015,kWp&gt;100),100/kWp,IF(AND(IBNJahr&lt;2015,DATE(IBNJahr,IBNMonat,1)&gt;DATE(2014,7,31)),500/kWp,1)))</f>
        <v>186.23736822753284</v>
      </c>
      <c r="E9" s="11">
        <f t="shared" si="0"/>
        <v>0</v>
      </c>
      <c r="F9" s="11">
        <f t="shared" si="1"/>
        <v>616.81237632</v>
      </c>
      <c r="G9" s="11">
        <f t="shared" si="2"/>
        <v>0</v>
      </c>
      <c r="H9" s="11">
        <f>-$F$2*C9*(StrompreisNetto+Parameter!B$62/Parameter!B$61)*(1+Strompreissteigerung)^A9*IF(OR(Gewerbe="ja",Kleinunternehmer="ja"),0,0.19)</f>
        <v>-115.56637302857145</v>
      </c>
      <c r="I9" s="11">
        <f aca="true" t="shared" si="13" ref="I9:I28">-LfdKosten*(1+Inflationsrate)^A9*IF(Kleinunternehmer="ja",1.19,1)</f>
        <v>-91.35</v>
      </c>
      <c r="J9" s="11">
        <f aca="true" t="shared" si="14" ref="J9:J28">J8*(1+Inflationsrate)</f>
        <v>0</v>
      </c>
      <c r="K9" s="11">
        <f aca="true" t="shared" si="15" ref="K9:K28">IF(A9=Laufzeit1,IF(A9&gt;Zinsbindung1,-M8*Zinssatz1NachZinsbindung*(13-IBNMonat)/12,-M8*Zinssatz1*(13-IBNMonat)/12),IF(A9&lt;Zinsbindung1,-M8*Zinssatz1,-M8*Zinssatz1NachZinsbindung))</f>
        <v>0</v>
      </c>
      <c r="L9" s="11">
        <f t="shared" si="3"/>
        <v>0</v>
      </c>
      <c r="M9" s="17">
        <f t="shared" si="4"/>
        <v>0</v>
      </c>
      <c r="N9" s="11">
        <f t="shared" si="5"/>
        <v>0</v>
      </c>
      <c r="O9" s="11">
        <f aca="true" t="shared" si="16" ref="O9:O28">-Q8*Zinssatz2</f>
        <v>0</v>
      </c>
      <c r="P9" s="11">
        <f t="shared" si="6"/>
        <v>0</v>
      </c>
      <c r="Q9" s="17">
        <f aca="true" t="shared" si="17" ref="Q9:Q28">Q8+P9</f>
        <v>0</v>
      </c>
      <c r="R9" s="11">
        <f aca="true" t="shared" si="18" ref="R9:R28">SUM(D9:L9)+N9</f>
        <v>596.1333715189613</v>
      </c>
      <c r="S9" s="11">
        <v>0</v>
      </c>
      <c r="T9" s="10">
        <f>IF(DegressiveAbschreibung="ja",-U8*0.125,-U$7*0.05)</f>
        <v>-300</v>
      </c>
      <c r="U9" s="17">
        <f t="shared" si="7"/>
        <v>5650</v>
      </c>
      <c r="V9" s="11">
        <f>IF(Parameter!B$37="nein",0,SUM(D9:K9)+O9+S9+T9+AnlagenpreisPV*Investitionsabzug-IF(Auszahlung1&lt;0.95,0.05*Kredit1,(1-Auszahlung1)*Kredit1))</f>
        <v>296.1333715189613</v>
      </c>
      <c r="W9" s="11">
        <f t="shared" si="8"/>
        <v>-88.8400114556884</v>
      </c>
      <c r="X9" s="11"/>
      <c r="Y9" s="11">
        <f>R9+X9+IF(Parameter!B$37="ja",W9,0)</f>
        <v>507.2933600632729</v>
      </c>
      <c r="Z9" s="11">
        <f t="shared" si="9"/>
        <v>492.51782530414846</v>
      </c>
      <c r="AA9" s="11">
        <f>AA8+Z9</f>
        <v>-11615.871763533662</v>
      </c>
      <c r="AB9" s="11">
        <f t="shared" si="10"/>
        <v>88.6893203883495</v>
      </c>
      <c r="AC9" s="10">
        <f t="shared" si="11"/>
        <v>3670.873786407767</v>
      </c>
    </row>
    <row r="10" spans="1:29" s="124" customFormat="1" ht="12.75">
      <c r="A10" s="11">
        <v>2</v>
      </c>
      <c r="B10" s="47">
        <f aca="true" t="shared" si="19" ref="B10:B28">B9+1</f>
        <v>2018</v>
      </c>
      <c r="C10" s="11">
        <f t="shared" si="12"/>
        <v>3762.0950000000003</v>
      </c>
      <c r="D10" s="11">
        <f aca="true" t="shared" si="20" ref="D10:D28">C10*eegSatz2*$F$2+C10*eegSatz1*(1-$F$2)*IF(OR(Direktvermarktung="ja",Einspeisung="nein"),0,IF(AND(IBNJahr&gt;2015,kWp&gt;100),100/kWp,IF(AND(IBNJahr&lt;2015,DATE(IBNJahr,IBNMonat,1)&gt;DATE(2014,7,31)),500/kWp,1)))</f>
        <v>185.3061813863952</v>
      </c>
      <c r="E10" s="11">
        <f t="shared" si="0"/>
        <v>0</v>
      </c>
      <c r="F10" s="11">
        <f t="shared" si="1"/>
        <v>626.0028807271682</v>
      </c>
      <c r="G10" s="11">
        <f t="shared" si="2"/>
        <v>0</v>
      </c>
      <c r="H10" s="11">
        <f>-$F$2*C10*(StrompreisNetto+Parameter!B$62/Parameter!B$61)*(1+Strompreissteigerung)^A10*IF(OR(Gewerbe="ja",Kleinunternehmer="ja"),0,0.19)</f>
        <v>-117.28831198669715</v>
      </c>
      <c r="I10" s="11">
        <f t="shared" si="13"/>
        <v>-92.72024999999998</v>
      </c>
      <c r="J10" s="11">
        <f t="shared" si="14"/>
        <v>0</v>
      </c>
      <c r="K10" s="11">
        <f t="shared" si="15"/>
        <v>0</v>
      </c>
      <c r="L10" s="11">
        <f t="shared" si="3"/>
        <v>0</v>
      </c>
      <c r="M10" s="17">
        <f t="shared" si="4"/>
        <v>0</v>
      </c>
      <c r="N10" s="11">
        <f t="shared" si="5"/>
        <v>0</v>
      </c>
      <c r="O10" s="11">
        <f t="shared" si="16"/>
        <v>0</v>
      </c>
      <c r="P10" s="11">
        <f t="shared" si="6"/>
        <v>0</v>
      </c>
      <c r="Q10" s="17">
        <f t="shared" si="17"/>
        <v>0</v>
      </c>
      <c r="R10" s="11">
        <f t="shared" si="18"/>
        <v>601.3005001268663</v>
      </c>
      <c r="S10" s="11">
        <v>0</v>
      </c>
      <c r="T10" s="10">
        <f>IF(DegressiveAbschreibung="ja",-U9*0.125,-U$7*0.05)</f>
        <v>-300</v>
      </c>
      <c r="U10" s="17">
        <f t="shared" si="7"/>
        <v>5350</v>
      </c>
      <c r="V10" s="11">
        <f>IF(Parameter!B$37="nein",0,SUM(D10:K10)+O10+S10+T10+AnlagenpreisPV*Investitionsabzug-IF(Auszahlung1&lt;0.95,0.05*Kredit1,(1-Auszahlung1)*Kredit1))</f>
        <v>301.30050012686627</v>
      </c>
      <c r="W10" s="11">
        <f t="shared" si="8"/>
        <v>-90.39015003805987</v>
      </c>
      <c r="X10" s="11"/>
      <c r="Y10" s="11">
        <f>R10+X10+IF(Parameter!B$37="ja",W10,0)</f>
        <v>510.9103500888064</v>
      </c>
      <c r="Z10" s="11">
        <f t="shared" si="9"/>
        <v>481.5820059278032</v>
      </c>
      <c r="AA10" s="11">
        <f aca="true" t="shared" si="21" ref="AA10:AA27">AA9+Z10</f>
        <v>-11134.289757605859</v>
      </c>
      <c r="AB10" s="11">
        <f t="shared" si="10"/>
        <v>87.39772834385897</v>
      </c>
      <c r="AC10" s="10">
        <f t="shared" si="11"/>
        <v>3546.135356772552</v>
      </c>
    </row>
    <row r="11" spans="1:31" s="124" customFormat="1" ht="12.75">
      <c r="A11" s="11">
        <v>3</v>
      </c>
      <c r="B11" s="47">
        <f t="shared" si="19"/>
        <v>2019</v>
      </c>
      <c r="C11" s="11">
        <f t="shared" si="12"/>
        <v>3743.284525</v>
      </c>
      <c r="D11" s="11">
        <f t="shared" si="20"/>
        <v>184.3796504794632</v>
      </c>
      <c r="E11" s="11">
        <f t="shared" si="0"/>
        <v>0</v>
      </c>
      <c r="F11" s="11">
        <f t="shared" si="1"/>
        <v>635.3303236500028</v>
      </c>
      <c r="G11" s="11">
        <f t="shared" si="2"/>
        <v>0</v>
      </c>
      <c r="H11" s="11">
        <f>-$F$2*C11*(StrompreisNetto+Parameter!B$62/Parameter!B$61)*(1+Strompreissteigerung)^A11*IF(OR(Gewerbe="ja",Kleinunternehmer="ja"),0,0.19)</f>
        <v>-119.03590783529894</v>
      </c>
      <c r="I11" s="11">
        <f t="shared" si="13"/>
        <v>-94.11105374999997</v>
      </c>
      <c r="J11" s="11">
        <f t="shared" si="14"/>
        <v>0</v>
      </c>
      <c r="K11" s="11">
        <f t="shared" si="15"/>
        <v>0</v>
      </c>
      <c r="L11" s="11">
        <f t="shared" si="3"/>
        <v>0</v>
      </c>
      <c r="M11" s="17">
        <f t="shared" si="4"/>
        <v>0</v>
      </c>
      <c r="N11" s="11">
        <f t="shared" si="5"/>
        <v>0</v>
      </c>
      <c r="O11" s="11">
        <f t="shared" si="16"/>
        <v>0</v>
      </c>
      <c r="P11" s="11">
        <f t="shared" si="6"/>
        <v>0</v>
      </c>
      <c r="Q11" s="17">
        <f t="shared" si="17"/>
        <v>0</v>
      </c>
      <c r="R11" s="11">
        <f t="shared" si="18"/>
        <v>606.563012544167</v>
      </c>
      <c r="S11" s="11">
        <v>0</v>
      </c>
      <c r="T11" s="10">
        <f>IF(DegressiveAbschreibung="ja",-U10*0.125,-U$7*0.05)</f>
        <v>-300</v>
      </c>
      <c r="U11" s="17">
        <f t="shared" si="7"/>
        <v>5050</v>
      </c>
      <c r="V11" s="11">
        <f>IF(Parameter!B$37="nein",0,SUM(D11:K11)+O11+S11+T11+AnlagenpreisPV*Investitionsabzug-IF(Auszahlung1&lt;0.95,0.05*Kredit1,(1-Auszahlung1)*Kredit1))</f>
        <v>306.563012544167</v>
      </c>
      <c r="W11" s="11">
        <f t="shared" si="8"/>
        <v>-91.9689037632501</v>
      </c>
      <c r="X11" s="11"/>
      <c r="Y11" s="11">
        <f>R11+X11+IF(Parameter!B$37="ja",W11,0)</f>
        <v>514.5941087809169</v>
      </c>
      <c r="Z11" s="11">
        <f t="shared" si="9"/>
        <v>470.92650660312864</v>
      </c>
      <c r="AA11" s="11">
        <f t="shared" si="21"/>
        <v>-10663.36325100273</v>
      </c>
      <c r="AB11" s="11">
        <f t="shared" si="10"/>
        <v>86.12494589224936</v>
      </c>
      <c r="AC11" s="10">
        <f t="shared" si="11"/>
        <v>3425.6356116395036</v>
      </c>
      <c r="AE11" s="126"/>
    </row>
    <row r="12" spans="1:29" s="124" customFormat="1" ht="12.75">
      <c r="A12" s="11">
        <v>4</v>
      </c>
      <c r="B12" s="47">
        <f t="shared" si="19"/>
        <v>2020</v>
      </c>
      <c r="C12" s="11">
        <f t="shared" si="12"/>
        <v>3724.5681023750003</v>
      </c>
      <c r="D12" s="11">
        <f t="shared" si="20"/>
        <v>183.45775222706592</v>
      </c>
      <c r="E12" s="11">
        <f t="shared" si="0"/>
        <v>0</v>
      </c>
      <c r="F12" s="11">
        <f t="shared" si="1"/>
        <v>644.7967454723879</v>
      </c>
      <c r="G12" s="11">
        <f t="shared" si="2"/>
        <v>0</v>
      </c>
      <c r="H12" s="11">
        <f>-$F$2*C12*(StrompreisNetto+Parameter!B$62/Parameter!B$61)*(1+Strompreissteigerung)^A12*IF(OR(Gewerbe="ja",Kleinunternehmer="ja"),0,0.19)</f>
        <v>-120.80954286204494</v>
      </c>
      <c r="I12" s="11">
        <f t="shared" si="13"/>
        <v>-95.52271955624995</v>
      </c>
      <c r="J12" s="11">
        <f t="shared" si="14"/>
        <v>0</v>
      </c>
      <c r="K12" s="11">
        <f t="shared" si="15"/>
        <v>0</v>
      </c>
      <c r="L12" s="11">
        <f t="shared" si="3"/>
        <v>0</v>
      </c>
      <c r="M12" s="17">
        <f t="shared" si="4"/>
        <v>0</v>
      </c>
      <c r="N12" s="11">
        <f t="shared" si="5"/>
        <v>0</v>
      </c>
      <c r="O12" s="11">
        <f t="shared" si="16"/>
        <v>0</v>
      </c>
      <c r="P12" s="11">
        <f t="shared" si="6"/>
        <v>0</v>
      </c>
      <c r="Q12" s="17">
        <f t="shared" si="17"/>
        <v>0</v>
      </c>
      <c r="R12" s="11">
        <f t="shared" si="18"/>
        <v>611.9222352811589</v>
      </c>
      <c r="S12" s="11">
        <f>IF(Sonderabschreibung="ja",-U$7*0.01,0)</f>
        <v>0</v>
      </c>
      <c r="T12" s="10">
        <f>IF(DegressiveAbschreibung="ja",-U11*0.125,-U$7*0.05)</f>
        <v>-300</v>
      </c>
      <c r="U12" s="17">
        <f t="shared" si="7"/>
        <v>4750</v>
      </c>
      <c r="V12" s="11">
        <f>IF(Parameter!B$37="nein",0,SUM(D12:K12)+O12+S12+T12+AnlagenpreisPV*Investitionsabzug-IF(Auszahlung1&lt;0.95,0.05*Kredit1,(1-Auszahlung1)*Kredit1))</f>
        <v>311.9222352811589</v>
      </c>
      <c r="W12" s="11">
        <f t="shared" si="8"/>
        <v>-93.57667058434767</v>
      </c>
      <c r="X12" s="11"/>
      <c r="Y12" s="11">
        <f>R12+X12+IF(Parameter!B$37="ja",W12,0)</f>
        <v>518.3455646968113</v>
      </c>
      <c r="Z12" s="11">
        <f t="shared" si="9"/>
        <v>460.5433205776606</v>
      </c>
      <c r="AA12" s="11">
        <f t="shared" si="21"/>
        <v>-10202.819930425068</v>
      </c>
      <c r="AB12" s="11">
        <f t="shared" si="10"/>
        <v>84.87069910741077</v>
      </c>
      <c r="AC12" s="10">
        <f t="shared" si="11"/>
        <v>3309.2305180401036</v>
      </c>
    </row>
    <row r="13" spans="1:29" s="124" customFormat="1" ht="12.75">
      <c r="A13" s="11">
        <v>5</v>
      </c>
      <c r="B13" s="47">
        <f t="shared" si="19"/>
        <v>2021</v>
      </c>
      <c r="C13" s="11">
        <f t="shared" si="12"/>
        <v>3705.9452618631253</v>
      </c>
      <c r="D13" s="11">
        <f t="shared" si="20"/>
        <v>182.5404634659306</v>
      </c>
      <c r="E13" s="11">
        <f t="shared" si="0"/>
        <v>0</v>
      </c>
      <c r="F13" s="11">
        <f t="shared" si="1"/>
        <v>654.4042169799264</v>
      </c>
      <c r="G13" s="11">
        <f t="shared" si="2"/>
        <v>0</v>
      </c>
      <c r="H13" s="11">
        <f>-$F$2*C13*(StrompreisNetto+Parameter!B$62/Parameter!B$61)*(1+Strompreissteigerung)^A13*IF(OR(Gewerbe="ja",Kleinunternehmer="ja"),0,0.19)</f>
        <v>-122.60960505068938</v>
      </c>
      <c r="I13" s="11">
        <f t="shared" si="13"/>
        <v>-96.95556034959368</v>
      </c>
      <c r="J13" s="11">
        <f t="shared" si="14"/>
        <v>0</v>
      </c>
      <c r="K13" s="11">
        <f t="shared" si="15"/>
        <v>0</v>
      </c>
      <c r="L13" s="11">
        <f t="shared" si="3"/>
        <v>0</v>
      </c>
      <c r="M13" s="17">
        <f t="shared" si="4"/>
        <v>0</v>
      </c>
      <c r="N13" s="11">
        <f t="shared" si="5"/>
        <v>0</v>
      </c>
      <c r="O13" s="11">
        <f t="shared" si="16"/>
        <v>0</v>
      </c>
      <c r="P13" s="11">
        <f t="shared" si="6"/>
        <v>0</v>
      </c>
      <c r="Q13" s="17">
        <f t="shared" si="17"/>
        <v>0</v>
      </c>
      <c r="R13" s="11">
        <f t="shared" si="18"/>
        <v>617.379515045574</v>
      </c>
      <c r="S13" s="11"/>
      <c r="T13" s="10">
        <f>IF(DegressiveAbschreibung="ja",-U12*0.125,-U$7*0.05)</f>
        <v>-300</v>
      </c>
      <c r="U13" s="17">
        <f t="shared" si="7"/>
        <v>4450</v>
      </c>
      <c r="V13" s="11">
        <f>IF(Parameter!B$37="nein",0,SUM(D13:K13)+O13+S13+T13+AnlagenpreisPV*Investitionsabzug-IF(Auszahlung1&lt;0.95,0.05*Kredit1,(1-Auszahlung1)*Kredit1))</f>
        <v>317.37951504557395</v>
      </c>
      <c r="W13" s="11">
        <f t="shared" si="8"/>
        <v>-95.21385451367219</v>
      </c>
      <c r="X13" s="11">
        <f>-IF(AND(BatteriespeicherJN=1,Batterietyp=1),ZusatzkostenBatterie,0)</f>
        <v>0</v>
      </c>
      <c r="Y13" s="11">
        <f>R13+X13+IF(Parameter!B$37="ja",W13,0)</f>
        <v>522.1656605319017</v>
      </c>
      <c r="Z13" s="11">
        <f t="shared" si="9"/>
        <v>450.4246856785778</v>
      </c>
      <c r="AA13" s="11">
        <f t="shared" si="21"/>
        <v>-9752.39524474649</v>
      </c>
      <c r="AB13" s="11">
        <f t="shared" si="10"/>
        <v>83.63471805244846</v>
      </c>
      <c r="AC13" s="10">
        <f t="shared" si="11"/>
        <v>3196.7809373300033</v>
      </c>
    </row>
    <row r="14" spans="1:29" s="124" customFormat="1" ht="12.75">
      <c r="A14" s="11">
        <v>6</v>
      </c>
      <c r="B14" s="47">
        <f t="shared" si="19"/>
        <v>2022</v>
      </c>
      <c r="C14" s="11">
        <f t="shared" si="12"/>
        <v>3687.4155355538096</v>
      </c>
      <c r="D14" s="11">
        <f t="shared" si="20"/>
        <v>181.6277611486009</v>
      </c>
      <c r="E14" s="11">
        <f t="shared" si="0"/>
        <v>0</v>
      </c>
      <c r="F14" s="11">
        <f t="shared" si="1"/>
        <v>664.1548398129274</v>
      </c>
      <c r="G14" s="11">
        <f t="shared" si="2"/>
        <v>0</v>
      </c>
      <c r="H14" s="11">
        <f>-$F$2*C14*(StrompreisNetto+Parameter!B$62/Parameter!B$61)*(1+Strompreissteigerung)^A14*IF(OR(Gewerbe="ja",Kleinunternehmer="ja"),0,0.19)</f>
        <v>-124.43648816594465</v>
      </c>
      <c r="I14" s="11">
        <f t="shared" si="13"/>
        <v>-98.40989375483757</v>
      </c>
      <c r="J14" s="11">
        <f t="shared" si="14"/>
        <v>0</v>
      </c>
      <c r="K14" s="11">
        <f t="shared" si="15"/>
        <v>0</v>
      </c>
      <c r="L14" s="11">
        <f t="shared" si="3"/>
        <v>0</v>
      </c>
      <c r="M14" s="17">
        <f t="shared" si="4"/>
        <v>0</v>
      </c>
      <c r="N14" s="11">
        <f t="shared" si="5"/>
        <v>0</v>
      </c>
      <c r="O14" s="11">
        <f t="shared" si="16"/>
        <v>0</v>
      </c>
      <c r="P14" s="11">
        <f t="shared" si="6"/>
        <v>0</v>
      </c>
      <c r="Q14" s="17">
        <f t="shared" si="17"/>
        <v>0</v>
      </c>
      <c r="R14" s="11">
        <f t="shared" si="18"/>
        <v>622.9362190407462</v>
      </c>
      <c r="S14" s="11"/>
      <c r="T14" s="10">
        <f aca="true" t="shared" si="22" ref="T14:T27">IF(DegressiveAbschreibung="nein",IF(Sonderabschreibung="ja",-U$13/15,-U$7*0.05),IF(U13*0.125&gt;U13/(21-A14),-U13*0.125,-U13/(21-A14)))</f>
        <v>-300</v>
      </c>
      <c r="U14" s="16">
        <f aca="true" t="shared" si="23" ref="U14:U27">U13+T14</f>
        <v>4150</v>
      </c>
      <c r="V14" s="11">
        <f>IF(Parameter!B$37="nein",0,SUM(D14:K14)+O14+S14+T14+AnlagenpreisPV*Investitionsabzug-IF(Auszahlung1&lt;0.95,0.05*Kredit1,(1-Auszahlung1)*Kredit1))</f>
        <v>322.9362190407462</v>
      </c>
      <c r="W14" s="11">
        <f t="shared" si="8"/>
        <v>-96.88086571222387</v>
      </c>
      <c r="X14" s="12"/>
      <c r="Y14" s="11">
        <f>R14+X14+IF(Parameter!B$37="ja",W14,0)</f>
        <v>526.0553533285223</v>
      </c>
      <c r="Z14" s="11">
        <f t="shared" si="9"/>
        <v>440.56307655679467</v>
      </c>
      <c r="AA14" s="11">
        <f t="shared" si="21"/>
        <v>-9311.832168189696</v>
      </c>
      <c r="AB14" s="11">
        <f t="shared" si="10"/>
        <v>82.41673672158754</v>
      </c>
      <c r="AC14" s="10">
        <f t="shared" si="11"/>
        <v>3088.1524588770417</v>
      </c>
    </row>
    <row r="15" spans="1:29" s="124" customFormat="1" ht="12.75">
      <c r="A15" s="11">
        <v>7</v>
      </c>
      <c r="B15" s="47">
        <f t="shared" si="19"/>
        <v>2023</v>
      </c>
      <c r="C15" s="11">
        <f t="shared" si="12"/>
        <v>3668.9784578760405</v>
      </c>
      <c r="D15" s="11">
        <f t="shared" si="20"/>
        <v>180.71962234285792</v>
      </c>
      <c r="E15" s="11">
        <f t="shared" si="0"/>
        <v>0</v>
      </c>
      <c r="F15" s="11">
        <f t="shared" si="1"/>
        <v>674.05074692614</v>
      </c>
      <c r="G15" s="11">
        <f t="shared" si="2"/>
        <v>0</v>
      </c>
      <c r="H15" s="11">
        <f>-$F$2*C15*(StrompreisNetto+Parameter!B$62/Parameter!B$61)*(1+Strompreissteigerung)^A15*IF(OR(Gewerbe="ja",Kleinunternehmer="ja"),0,0.19)</f>
        <v>-126.2905918396172</v>
      </c>
      <c r="I15" s="11">
        <f t="shared" si="13"/>
        <v>-99.88604216116012</v>
      </c>
      <c r="J15" s="11">
        <f t="shared" si="14"/>
        <v>0</v>
      </c>
      <c r="K15" s="11">
        <f t="shared" si="15"/>
        <v>0</v>
      </c>
      <c r="L15" s="11">
        <f t="shared" si="3"/>
        <v>0</v>
      </c>
      <c r="M15" s="17">
        <f t="shared" si="4"/>
        <v>0</v>
      </c>
      <c r="N15" s="11">
        <f t="shared" si="5"/>
        <v>0</v>
      </c>
      <c r="O15" s="11">
        <f t="shared" si="16"/>
        <v>0</v>
      </c>
      <c r="P15" s="11">
        <f t="shared" si="6"/>
        <v>0</v>
      </c>
      <c r="Q15" s="17">
        <f t="shared" si="17"/>
        <v>0</v>
      </c>
      <c r="R15" s="11">
        <f t="shared" si="18"/>
        <v>628.5937352682205</v>
      </c>
      <c r="S15" s="11"/>
      <c r="T15" s="10">
        <f t="shared" si="22"/>
        <v>-300</v>
      </c>
      <c r="U15" s="16">
        <f t="shared" si="23"/>
        <v>3850</v>
      </c>
      <c r="V15" s="11">
        <f>IF(Parameter!B$37="nein",0,SUM(D15:K15)+O15+S15+T15+AnlagenpreisPV*Investitionsabzug-IF(Auszahlung1&lt;0.95,0.05*Kredit1,(1-Auszahlung1)*Kredit1))</f>
        <v>328.5937352682205</v>
      </c>
      <c r="W15" s="11">
        <f t="shared" si="8"/>
        <v>-98.57812058046615</v>
      </c>
      <c r="X15" s="11"/>
      <c r="Y15" s="11">
        <f>R15+X15+IF(Parameter!B$37="ja",W15,0)</f>
        <v>530.0156146877544</v>
      </c>
      <c r="Z15" s="11">
        <f t="shared" si="9"/>
        <v>430.95119718204285</v>
      </c>
      <c r="AA15" s="11">
        <f t="shared" si="21"/>
        <v>-8880.880971007653</v>
      </c>
      <c r="AB15" s="11">
        <f t="shared" si="10"/>
        <v>81.21649298292364</v>
      </c>
      <c r="AC15" s="10">
        <f t="shared" si="11"/>
        <v>2983.215239400637</v>
      </c>
    </row>
    <row r="16" spans="1:29" s="124" customFormat="1" ht="12.75">
      <c r="A16" s="11">
        <v>8</v>
      </c>
      <c r="B16" s="47">
        <f t="shared" si="19"/>
        <v>2024</v>
      </c>
      <c r="C16" s="11">
        <f t="shared" si="12"/>
        <v>3650.6335655866606</v>
      </c>
      <c r="D16" s="11">
        <f t="shared" si="20"/>
        <v>179.81602423114364</v>
      </c>
      <c r="E16" s="11">
        <f t="shared" si="0"/>
        <v>0</v>
      </c>
      <c r="F16" s="11">
        <f t="shared" si="1"/>
        <v>684.0941030553395</v>
      </c>
      <c r="G16" s="11">
        <f t="shared" si="2"/>
        <v>0</v>
      </c>
      <c r="H16" s="11">
        <f>-$F$2*C16*(StrompreisNetto+Parameter!B$62/Parameter!B$61)*(1+Strompreissteigerung)^A16*IF(OR(Gewerbe="ja",Kleinunternehmer="ja"),0,0.19)</f>
        <v>-128.1723216580275</v>
      </c>
      <c r="I16" s="11">
        <f t="shared" si="13"/>
        <v>-101.38433279357751</v>
      </c>
      <c r="J16" s="11">
        <f t="shared" si="14"/>
        <v>0</v>
      </c>
      <c r="K16" s="11">
        <f t="shared" si="15"/>
        <v>0</v>
      </c>
      <c r="L16" s="11">
        <f t="shared" si="3"/>
        <v>0</v>
      </c>
      <c r="M16" s="17">
        <f t="shared" si="4"/>
        <v>0</v>
      </c>
      <c r="N16" s="11">
        <f t="shared" si="5"/>
        <v>0</v>
      </c>
      <c r="O16" s="11">
        <f t="shared" si="16"/>
        <v>0</v>
      </c>
      <c r="P16" s="11">
        <f t="shared" si="6"/>
        <v>0</v>
      </c>
      <c r="Q16" s="17">
        <f t="shared" si="17"/>
        <v>0</v>
      </c>
      <c r="R16" s="11">
        <f t="shared" si="18"/>
        <v>634.3534728348781</v>
      </c>
      <c r="S16" s="11"/>
      <c r="T16" s="10">
        <f t="shared" si="22"/>
        <v>-300</v>
      </c>
      <c r="U16" s="16">
        <f t="shared" si="23"/>
        <v>3550</v>
      </c>
      <c r="V16" s="11">
        <f>IF(Parameter!B$37="nein",0,SUM(D16:K16)+O16+S16+T16+AnlagenpreisPV*Investitionsabzug-IF(Auszahlung1&lt;0.95,0.05*Kredit1,(1-Auszahlung1)*Kredit1))</f>
        <v>334.35347283487806</v>
      </c>
      <c r="W16" s="11">
        <f t="shared" si="8"/>
        <v>-100.30604185046342</v>
      </c>
      <c r="X16" s="11"/>
      <c r="Y16" s="11">
        <f>R16+X16+IF(Parameter!B$37="ja",W16,0)</f>
        <v>534.0474309844146</v>
      </c>
      <c r="Z16" s="11">
        <f t="shared" si="9"/>
        <v>421.58197358073124</v>
      </c>
      <c r="AA16" s="11">
        <f t="shared" si="21"/>
        <v>-8459.298997426922</v>
      </c>
      <c r="AB16" s="11">
        <f t="shared" si="10"/>
        <v>80.03372852200728</v>
      </c>
      <c r="AC16" s="10">
        <f t="shared" si="11"/>
        <v>2881.843847770519</v>
      </c>
    </row>
    <row r="17" spans="1:29" s="124" customFormat="1" ht="12.75">
      <c r="A17" s="11">
        <v>9</v>
      </c>
      <c r="B17" s="47">
        <f t="shared" si="19"/>
        <v>2025</v>
      </c>
      <c r="C17" s="11">
        <f t="shared" si="12"/>
        <v>3632.3803977587268</v>
      </c>
      <c r="D17" s="11">
        <f t="shared" si="20"/>
        <v>178.9169441099879</v>
      </c>
      <c r="E17" s="11">
        <f t="shared" si="0"/>
        <v>0</v>
      </c>
      <c r="F17" s="11">
        <f t="shared" si="1"/>
        <v>694.2871051908639</v>
      </c>
      <c r="G17" s="11">
        <f t="shared" si="2"/>
        <v>0</v>
      </c>
      <c r="H17" s="11">
        <f>-$F$2*C17*(StrompreisNetto+Parameter!B$62/Parameter!B$61)*(1+Strompreissteigerung)^A17*IF(OR(Gewerbe="ja",Kleinunternehmer="ja"),0,0.19)</f>
        <v>-130.0820892507321</v>
      </c>
      <c r="I17" s="11">
        <f t="shared" si="13"/>
        <v>-102.90509778548116</v>
      </c>
      <c r="J17" s="11">
        <f t="shared" si="14"/>
        <v>0</v>
      </c>
      <c r="K17" s="11">
        <f t="shared" si="15"/>
        <v>0</v>
      </c>
      <c r="L17" s="11">
        <f t="shared" si="3"/>
        <v>0</v>
      </c>
      <c r="M17" s="17">
        <f t="shared" si="4"/>
        <v>0</v>
      </c>
      <c r="N17" s="11">
        <f t="shared" si="5"/>
        <v>0</v>
      </c>
      <c r="O17" s="11">
        <f t="shared" si="16"/>
        <v>0</v>
      </c>
      <c r="P17" s="11">
        <f t="shared" si="6"/>
        <v>0</v>
      </c>
      <c r="Q17" s="17">
        <f t="shared" si="17"/>
        <v>0</v>
      </c>
      <c r="R17" s="11">
        <f t="shared" si="18"/>
        <v>640.2168622646385</v>
      </c>
      <c r="S17" s="11"/>
      <c r="T17" s="10">
        <f t="shared" si="22"/>
        <v>-300</v>
      </c>
      <c r="U17" s="16">
        <f t="shared" si="23"/>
        <v>3250</v>
      </c>
      <c r="V17" s="11">
        <f>IF(Parameter!B$37="nein",0,SUM(D17:K17)+O17+S17+T17+AnlagenpreisPV*Investitionsabzug-IF(Auszahlung1&lt;0.95,0.05*Kredit1,(1-Auszahlung1)*Kredit1))</f>
        <v>340.2168622646385</v>
      </c>
      <c r="W17" s="11">
        <f t="shared" si="8"/>
        <v>-102.06505867939156</v>
      </c>
      <c r="X17" s="11"/>
      <c r="Y17" s="11">
        <f>R17+X17+IF(Parameter!B$37="ja",W17,0)</f>
        <v>538.151803585247</v>
      </c>
      <c r="Z17" s="11">
        <f t="shared" si="9"/>
        <v>412.4485468086343</v>
      </c>
      <c r="AA17" s="11">
        <f t="shared" si="21"/>
        <v>-8046.850450618288</v>
      </c>
      <c r="AB17" s="11">
        <f t="shared" si="10"/>
        <v>78.86818878624987</v>
      </c>
      <c r="AC17" s="10">
        <f t="shared" si="11"/>
        <v>2783.917115079287</v>
      </c>
    </row>
    <row r="18" spans="1:29" s="124" customFormat="1" ht="12.75">
      <c r="A18" s="11">
        <v>10</v>
      </c>
      <c r="B18" s="47">
        <f t="shared" si="19"/>
        <v>2026</v>
      </c>
      <c r="C18" s="11">
        <f t="shared" si="12"/>
        <v>3614.2184957699337</v>
      </c>
      <c r="D18" s="11">
        <f t="shared" si="20"/>
        <v>178.02235938943798</v>
      </c>
      <c r="E18" s="11">
        <f t="shared" si="0"/>
        <v>0</v>
      </c>
      <c r="F18" s="11">
        <f t="shared" si="1"/>
        <v>704.631983058208</v>
      </c>
      <c r="G18" s="11">
        <f t="shared" si="2"/>
        <v>0</v>
      </c>
      <c r="H18" s="11">
        <f>-$F$2*C18*(StrompreisNetto+Parameter!B$62/Parameter!B$61)*(1+Strompreissteigerung)^A18*IF(OR(Gewerbe="ja",Kleinunternehmer="ja"),0,0.19)</f>
        <v>-132.02031238056804</v>
      </c>
      <c r="I18" s="11">
        <f t="shared" si="13"/>
        <v>-104.44867425226337</v>
      </c>
      <c r="J18" s="11">
        <f t="shared" si="14"/>
        <v>0</v>
      </c>
      <c r="K18" s="11">
        <f t="shared" si="15"/>
        <v>0</v>
      </c>
      <c r="L18" s="11">
        <f t="shared" si="3"/>
        <v>0</v>
      </c>
      <c r="M18" s="17">
        <f t="shared" si="4"/>
        <v>0</v>
      </c>
      <c r="N18" s="11">
        <f t="shared" si="5"/>
        <v>0</v>
      </c>
      <c r="O18" s="11">
        <f t="shared" si="16"/>
        <v>0</v>
      </c>
      <c r="P18" s="11">
        <f t="shared" si="6"/>
        <v>0</v>
      </c>
      <c r="Q18" s="17">
        <f t="shared" si="17"/>
        <v>0</v>
      </c>
      <c r="R18" s="11">
        <f t="shared" si="18"/>
        <v>646.1853558148146</v>
      </c>
      <c r="S18" s="11"/>
      <c r="T18" s="10">
        <f t="shared" si="22"/>
        <v>-300</v>
      </c>
      <c r="U18" s="16">
        <f t="shared" si="23"/>
        <v>2950</v>
      </c>
      <c r="V18" s="11">
        <f>IF(Parameter!B$37="nein",0,SUM(D18:K18)+O18+S18+T18+AnlagenpreisPV*Investitionsabzug-IF(Auszahlung1&lt;0.95,0.05*Kredit1,(1-Auszahlung1)*Kredit1))</f>
        <v>346.18535581481456</v>
      </c>
      <c r="W18" s="11">
        <f t="shared" si="8"/>
        <v>-103.85560674444436</v>
      </c>
      <c r="X18" s="11">
        <f>-IF(AND(BatteriespeicherJN=1,Batterietyp=1),ZusatzkostenBatterie,0)</f>
        <v>0</v>
      </c>
      <c r="Y18" s="11">
        <f>R18+X18+IF(Parameter!B$37="ja",W18,0)</f>
        <v>542.3297490703702</v>
      </c>
      <c r="Z18" s="11">
        <f t="shared" si="9"/>
        <v>403.5442661507304</v>
      </c>
      <c r="AA18" s="11">
        <f t="shared" si="21"/>
        <v>-7643.306184467558</v>
      </c>
      <c r="AB18" s="11">
        <f t="shared" si="10"/>
        <v>77.71962293013944</v>
      </c>
      <c r="AC18" s="10">
        <f t="shared" si="11"/>
        <v>2689.317989809603</v>
      </c>
    </row>
    <row r="19" spans="1:29" s="124" customFormat="1" ht="12.75">
      <c r="A19" s="11">
        <v>11</v>
      </c>
      <c r="B19" s="47">
        <f t="shared" si="19"/>
        <v>2027</v>
      </c>
      <c r="C19" s="11">
        <f t="shared" si="12"/>
        <v>3596.1474032910837</v>
      </c>
      <c r="D19" s="11">
        <f t="shared" si="20"/>
        <v>177.13224759249078</v>
      </c>
      <c r="E19" s="11">
        <f t="shared" si="0"/>
        <v>0</v>
      </c>
      <c r="F19" s="11">
        <f t="shared" si="1"/>
        <v>715.130999605775</v>
      </c>
      <c r="G19" s="11">
        <f t="shared" si="2"/>
        <v>0</v>
      </c>
      <c r="H19" s="11">
        <f>-$F$2*C19*(StrompreisNetto+Parameter!B$62/Parameter!B$61)*(1+Strompreissteigerung)^A19*IF(OR(Gewerbe="ja",Kleinunternehmer="ja"),0,0.19)</f>
        <v>-133.98741503503848</v>
      </c>
      <c r="I19" s="11">
        <f t="shared" si="13"/>
        <v>-106.0154043660473</v>
      </c>
      <c r="J19" s="11">
        <f t="shared" si="14"/>
        <v>0</v>
      </c>
      <c r="K19" s="11">
        <f t="shared" si="15"/>
        <v>0</v>
      </c>
      <c r="L19" s="11">
        <f t="shared" si="3"/>
        <v>0</v>
      </c>
      <c r="M19" s="17">
        <f aca="true" t="shared" si="24" ref="M19:M27">M18+L19</f>
        <v>0</v>
      </c>
      <c r="N19" s="11">
        <f t="shared" si="5"/>
        <v>0</v>
      </c>
      <c r="O19" s="11">
        <f t="shared" si="16"/>
        <v>0</v>
      </c>
      <c r="P19" s="11">
        <f t="shared" si="6"/>
        <v>0</v>
      </c>
      <c r="Q19" s="17">
        <f t="shared" si="17"/>
        <v>0</v>
      </c>
      <c r="R19" s="11">
        <f t="shared" si="18"/>
        <v>652.26042779718</v>
      </c>
      <c r="S19" s="11"/>
      <c r="T19" s="10">
        <f t="shared" si="22"/>
        <v>-300</v>
      </c>
      <c r="U19" s="16">
        <f t="shared" si="23"/>
        <v>2650</v>
      </c>
      <c r="V19" s="11">
        <f>IF(Parameter!B$37="nein",0,SUM(D19:K19)+O19+S19+T19+AnlagenpreisPV*Investitionsabzug-IF(Auszahlung1&lt;0.95,0.05*Kredit1,(1-Auszahlung1)*Kredit1))</f>
        <v>352.26042779718</v>
      </c>
      <c r="W19" s="11">
        <f aca="true" t="shared" si="25" ref="W19:W28">-V19*Steuersatz2</f>
        <v>-105.678128339154</v>
      </c>
      <c r="X19" s="11"/>
      <c r="Y19" s="11">
        <f>R19+X19+IF(Parameter!B$37="ja",W19,0)</f>
        <v>546.582299458026</v>
      </c>
      <c r="Z19" s="11">
        <f t="shared" si="9"/>
        <v>394.8626825407541</v>
      </c>
      <c r="AA19" s="11">
        <f t="shared" si="21"/>
        <v>-7248.443501926804</v>
      </c>
      <c r="AB19" s="11">
        <f t="shared" si="10"/>
        <v>76.58778376125389</v>
      </c>
      <c r="AC19" s="10">
        <f t="shared" si="11"/>
        <v>2597.9333979228686</v>
      </c>
    </row>
    <row r="20" spans="1:29" s="124" customFormat="1" ht="12.75">
      <c r="A20" s="11">
        <v>12</v>
      </c>
      <c r="B20" s="47">
        <f t="shared" si="19"/>
        <v>2028</v>
      </c>
      <c r="C20" s="11">
        <f t="shared" si="12"/>
        <v>3578.1666662746284</v>
      </c>
      <c r="D20" s="11">
        <f t="shared" si="20"/>
        <v>176.24658635452835</v>
      </c>
      <c r="E20" s="11">
        <f t="shared" si="0"/>
        <v>0</v>
      </c>
      <c r="F20" s="11">
        <f t="shared" si="1"/>
        <v>725.7864514999012</v>
      </c>
      <c r="G20" s="11">
        <f t="shared" si="2"/>
        <v>0</v>
      </c>
      <c r="H20" s="11">
        <f>-$F$2*C20*(StrompreisNetto+Parameter!B$62/Parameter!B$61)*(1+Strompreissteigerung)^A20*IF(OR(Gewerbe="ja",Kleinunternehmer="ja"),0,0.19)</f>
        <v>-135.98382751906058</v>
      </c>
      <c r="I20" s="11">
        <f t="shared" si="13"/>
        <v>-107.60563543153799</v>
      </c>
      <c r="J20" s="11">
        <f t="shared" si="14"/>
        <v>0</v>
      </c>
      <c r="K20" s="11">
        <f t="shared" si="15"/>
        <v>0</v>
      </c>
      <c r="L20" s="11">
        <f t="shared" si="3"/>
        <v>0</v>
      </c>
      <c r="M20" s="17">
        <f t="shared" si="24"/>
        <v>0</v>
      </c>
      <c r="N20" s="11">
        <f t="shared" si="5"/>
        <v>0</v>
      </c>
      <c r="O20" s="11">
        <f t="shared" si="16"/>
        <v>0</v>
      </c>
      <c r="P20" s="11">
        <f t="shared" si="6"/>
        <v>0</v>
      </c>
      <c r="Q20" s="17">
        <f t="shared" si="17"/>
        <v>0</v>
      </c>
      <c r="R20" s="11">
        <f t="shared" si="18"/>
        <v>658.443574903831</v>
      </c>
      <c r="S20" s="11"/>
      <c r="T20" s="10">
        <f t="shared" si="22"/>
        <v>-300</v>
      </c>
      <c r="U20" s="16">
        <f t="shared" si="23"/>
        <v>2350</v>
      </c>
      <c r="V20" s="11">
        <f>IF(Parameter!B$37="nein",0,SUM(D20:K20)+O20+S20+T20+AnlagenpreisPV*Investitionsabzug-IF(Auszahlung1&lt;0.95,0.05*Kredit1,(1-Auszahlung1)*Kredit1))</f>
        <v>358.44357490383095</v>
      </c>
      <c r="W20" s="11">
        <f t="shared" si="25"/>
        <v>-107.53307247114928</v>
      </c>
      <c r="X20" s="11"/>
      <c r="Y20" s="11">
        <f>R20+X20+IF(Parameter!B$37="ja",W20,0)</f>
        <v>550.9105024326817</v>
      </c>
      <c r="Z20" s="11">
        <f t="shared" si="9"/>
        <v>386.39754219328495</v>
      </c>
      <c r="AA20" s="11">
        <f t="shared" si="21"/>
        <v>-6862.045959733519</v>
      </c>
      <c r="AB20" s="11">
        <f t="shared" si="10"/>
        <v>75.47242768706087</v>
      </c>
      <c r="AC20" s="10">
        <f t="shared" si="11"/>
        <v>2509.6541077021893</v>
      </c>
    </row>
    <row r="21" spans="1:29" s="124" customFormat="1" ht="12.75">
      <c r="A21" s="11">
        <v>13</v>
      </c>
      <c r="B21" s="47">
        <f t="shared" si="19"/>
        <v>2029</v>
      </c>
      <c r="C21" s="11">
        <f t="shared" si="12"/>
        <v>3560.2758329432554</v>
      </c>
      <c r="D21" s="11">
        <f t="shared" si="20"/>
        <v>175.3653534227557</v>
      </c>
      <c r="E21" s="11">
        <f t="shared" si="0"/>
        <v>0</v>
      </c>
      <c r="F21" s="11">
        <f t="shared" si="1"/>
        <v>736.6006696272498</v>
      </c>
      <c r="G21" s="11">
        <f t="shared" si="2"/>
        <v>0</v>
      </c>
      <c r="H21" s="11">
        <f>-$F$2*C21*(StrompreisNetto+Parameter!B$62/Parameter!B$61)*(1+Strompreissteigerung)^A21*IF(OR(Gewerbe="ja",Kleinunternehmer="ja"),0,0.19)</f>
        <v>-138.00998654909455</v>
      </c>
      <c r="I21" s="11">
        <f t="shared" si="13"/>
        <v>-109.21971996301106</v>
      </c>
      <c r="J21" s="11">
        <f t="shared" si="14"/>
        <v>0</v>
      </c>
      <c r="K21" s="11">
        <f t="shared" si="15"/>
        <v>0</v>
      </c>
      <c r="L21" s="11">
        <f t="shared" si="3"/>
        <v>0</v>
      </c>
      <c r="M21" s="17">
        <f t="shared" si="24"/>
        <v>0</v>
      </c>
      <c r="N21" s="11">
        <f t="shared" si="5"/>
        <v>0</v>
      </c>
      <c r="O21" s="11">
        <f t="shared" si="16"/>
        <v>0</v>
      </c>
      <c r="P21" s="11">
        <f t="shared" si="6"/>
        <v>0</v>
      </c>
      <c r="Q21" s="17">
        <f t="shared" si="17"/>
        <v>0</v>
      </c>
      <c r="R21" s="11">
        <f t="shared" si="18"/>
        <v>664.7363165378998</v>
      </c>
      <c r="S21" s="11"/>
      <c r="T21" s="10">
        <f t="shared" si="22"/>
        <v>-300</v>
      </c>
      <c r="U21" s="16">
        <f t="shared" si="23"/>
        <v>2050</v>
      </c>
      <c r="V21" s="11">
        <f>IF(Parameter!B$37="nein",0,SUM(D21:K21)+O21+S21+T21+AnlagenpreisPV*Investitionsabzug-IF(Auszahlung1&lt;0.95,0.05*Kredit1,(1-Auszahlung1)*Kredit1))</f>
        <v>364.7363165378998</v>
      </c>
      <c r="W21" s="11">
        <f t="shared" si="25"/>
        <v>-109.42089496136994</v>
      </c>
      <c r="X21" s="11"/>
      <c r="Y21" s="11">
        <f>R21+X21+IF(Parameter!B$37="ja",W21,0)</f>
        <v>555.3154215765298</v>
      </c>
      <c r="Z21" s="11">
        <f t="shared" si="9"/>
        <v>378.1427804414145</v>
      </c>
      <c r="AA21" s="11">
        <f t="shared" si="21"/>
        <v>-6483.903179292105</v>
      </c>
      <c r="AB21" s="11">
        <f t="shared" si="10"/>
        <v>74.37331466249202</v>
      </c>
      <c r="AC21" s="10">
        <f t="shared" si="11"/>
        <v>2424.3745991880373</v>
      </c>
    </row>
    <row r="22" spans="1:29" s="124" customFormat="1" ht="12.75">
      <c r="A22" s="11">
        <v>14</v>
      </c>
      <c r="B22" s="47">
        <f t="shared" si="19"/>
        <v>2030</v>
      </c>
      <c r="C22" s="11">
        <f t="shared" si="12"/>
        <v>3542.4744537785396</v>
      </c>
      <c r="D22" s="11">
        <f t="shared" si="20"/>
        <v>174.48852665564195</v>
      </c>
      <c r="E22" s="11">
        <f t="shared" si="0"/>
        <v>0</v>
      </c>
      <c r="F22" s="11">
        <f t="shared" si="1"/>
        <v>747.5760196046961</v>
      </c>
      <c r="G22" s="11">
        <f t="shared" si="2"/>
        <v>0</v>
      </c>
      <c r="H22" s="11">
        <f>-$F$2*C22*(StrompreisNetto+Parameter!B$62/Parameter!B$61)*(1+Strompreissteigerung)^A22*IF(OR(Gewerbe="ja",Kleinunternehmer="ja"),0,0.19)</f>
        <v>-140.06633534867612</v>
      </c>
      <c r="I22" s="11">
        <f t="shared" si="13"/>
        <v>-110.85801576245619</v>
      </c>
      <c r="J22" s="11">
        <f t="shared" si="14"/>
        <v>0</v>
      </c>
      <c r="K22" s="11">
        <f t="shared" si="15"/>
        <v>0</v>
      </c>
      <c r="L22" s="11">
        <f t="shared" si="3"/>
        <v>0</v>
      </c>
      <c r="M22" s="17">
        <f t="shared" si="24"/>
        <v>0</v>
      </c>
      <c r="N22" s="11">
        <f t="shared" si="5"/>
        <v>0</v>
      </c>
      <c r="O22" s="11">
        <f t="shared" si="16"/>
        <v>0</v>
      </c>
      <c r="P22" s="11">
        <f t="shared" si="6"/>
        <v>0</v>
      </c>
      <c r="Q22" s="17">
        <f t="shared" si="17"/>
        <v>0</v>
      </c>
      <c r="R22" s="11">
        <f t="shared" si="18"/>
        <v>671.1401951492057</v>
      </c>
      <c r="S22" s="11"/>
      <c r="T22" s="10">
        <f t="shared" si="22"/>
        <v>-300</v>
      </c>
      <c r="U22" s="16">
        <f t="shared" si="23"/>
        <v>1750</v>
      </c>
      <c r="V22" s="11">
        <f>IF(Parameter!B$37="nein",0,SUM(D22:K22)+O22+S22+T22+AnlagenpreisPV*Investitionsabzug-IF(Auszahlung1&lt;0.95,0.05*Kredit1,(1-Auszahlung1)*Kredit1))</f>
        <v>371.14019514920574</v>
      </c>
      <c r="W22" s="11">
        <f t="shared" si="25"/>
        <v>-111.34205854476171</v>
      </c>
      <c r="X22" s="11"/>
      <c r="Y22" s="11">
        <f>R22+X22+IF(Parameter!B$37="ja",W22,0)</f>
        <v>559.798136604444</v>
      </c>
      <c r="Z22" s="11">
        <f t="shared" si="9"/>
        <v>370.0925157732817</v>
      </c>
      <c r="AA22" s="11">
        <f t="shared" si="21"/>
        <v>-6113.810663518823</v>
      </c>
      <c r="AB22" s="11">
        <f t="shared" si="10"/>
        <v>73.29020813828095</v>
      </c>
      <c r="AC22" s="10">
        <f t="shared" si="11"/>
        <v>2341.9929380505796</v>
      </c>
    </row>
    <row r="23" spans="1:29" s="124" customFormat="1" ht="12.75">
      <c r="A23" s="11">
        <v>15</v>
      </c>
      <c r="B23" s="47">
        <f t="shared" si="19"/>
        <v>2031</v>
      </c>
      <c r="C23" s="11">
        <f t="shared" si="12"/>
        <v>3524.7620815096466</v>
      </c>
      <c r="D23" s="11">
        <f t="shared" si="20"/>
        <v>173.6160840223637</v>
      </c>
      <c r="E23" s="11">
        <f t="shared" si="0"/>
        <v>0</v>
      </c>
      <c r="F23" s="11">
        <f t="shared" si="1"/>
        <v>758.7149022968057</v>
      </c>
      <c r="G23" s="11">
        <f t="shared" si="2"/>
        <v>0</v>
      </c>
      <c r="H23" s="11">
        <f>-$F$2*C23*(StrompreisNetto+Parameter!B$62/Parameter!B$61)*(1+Strompreissteigerung)^A23*IF(OR(Gewerbe="ja",Kleinunternehmer="ja"),0,0.19)</f>
        <v>-142.15332374537135</v>
      </c>
      <c r="I23" s="11">
        <f t="shared" si="13"/>
        <v>-112.52088599889302</v>
      </c>
      <c r="J23" s="11">
        <f t="shared" si="14"/>
        <v>0</v>
      </c>
      <c r="K23" s="11">
        <f t="shared" si="15"/>
        <v>0</v>
      </c>
      <c r="L23" s="11">
        <f t="shared" si="3"/>
        <v>0</v>
      </c>
      <c r="M23" s="17">
        <f t="shared" si="24"/>
        <v>0</v>
      </c>
      <c r="N23" s="11">
        <f t="shared" si="5"/>
        <v>0</v>
      </c>
      <c r="O23" s="11">
        <f t="shared" si="16"/>
        <v>0</v>
      </c>
      <c r="P23" s="11">
        <f t="shared" si="6"/>
        <v>0</v>
      </c>
      <c r="Q23" s="17">
        <f t="shared" si="17"/>
        <v>0</v>
      </c>
      <c r="R23" s="11">
        <f t="shared" si="18"/>
        <v>677.6567765749049</v>
      </c>
      <c r="S23" s="11"/>
      <c r="T23" s="10">
        <f t="shared" si="22"/>
        <v>-300</v>
      </c>
      <c r="U23" s="16">
        <f t="shared" si="23"/>
        <v>1450</v>
      </c>
      <c r="V23" s="11">
        <f>IF(Parameter!B$37="nein",0,SUM(D23:K23)+O23+S23+T23+AnlagenpreisPV*Investitionsabzug-IF(Auszahlung1&lt;0.95,0.05*Kredit1,(1-Auszahlung1)*Kredit1))</f>
        <v>377.65677657490494</v>
      </c>
      <c r="W23" s="11">
        <f t="shared" si="25"/>
        <v>-113.29703297247148</v>
      </c>
      <c r="X23" s="11">
        <f>-IF(AND(BatteriespeicherJN=1,Batterietyp=1),ZusatzkostenBatterie,0)</f>
        <v>0</v>
      </c>
      <c r="Y23" s="11">
        <f>R23+X23+IF(Parameter!B$37="ja",W23,0)</f>
        <v>564.3597436024335</v>
      </c>
      <c r="Z23" s="11">
        <f t="shared" si="9"/>
        <v>362.24104406097024</v>
      </c>
      <c r="AA23" s="11">
        <f t="shared" si="21"/>
        <v>-5751.569619457853</v>
      </c>
      <c r="AB23" s="11">
        <f t="shared" si="10"/>
        <v>72.22287501005354</v>
      </c>
      <c r="AC23" s="10">
        <f t="shared" si="11"/>
        <v>2262.4106537478897</v>
      </c>
    </row>
    <row r="24" spans="1:29" s="124" customFormat="1" ht="12.75">
      <c r="A24" s="11">
        <v>16</v>
      </c>
      <c r="B24" s="47">
        <f t="shared" si="19"/>
        <v>2032</v>
      </c>
      <c r="C24" s="11">
        <f t="shared" si="12"/>
        <v>3507.1382711020983</v>
      </c>
      <c r="D24" s="11">
        <f t="shared" si="20"/>
        <v>172.74800360225188</v>
      </c>
      <c r="E24" s="11">
        <f t="shared" si="0"/>
        <v>0</v>
      </c>
      <c r="F24" s="11">
        <f t="shared" si="1"/>
        <v>770.0197543410283</v>
      </c>
      <c r="G24" s="11">
        <f t="shared" si="2"/>
        <v>0</v>
      </c>
      <c r="H24" s="11">
        <f>-$F$2*C24*(StrompreisNetto+Parameter!B$62/Parameter!B$61)*(1+Strompreissteigerung)^A24*IF(OR(Gewerbe="ja",Kleinunternehmer="ja"),0,0.19)</f>
        <v>-144.27140826917739</v>
      </c>
      <c r="I24" s="11">
        <f t="shared" si="13"/>
        <v>-114.2086992888764</v>
      </c>
      <c r="J24" s="11">
        <f t="shared" si="14"/>
        <v>0</v>
      </c>
      <c r="K24" s="11">
        <f t="shared" si="15"/>
        <v>0</v>
      </c>
      <c r="L24" s="11">
        <f t="shared" si="3"/>
        <v>0</v>
      </c>
      <c r="M24" s="17">
        <f t="shared" si="24"/>
        <v>0</v>
      </c>
      <c r="N24" s="11">
        <f t="shared" si="5"/>
        <v>0</v>
      </c>
      <c r="O24" s="11">
        <f t="shared" si="16"/>
        <v>0</v>
      </c>
      <c r="P24" s="11">
        <f t="shared" si="6"/>
        <v>0</v>
      </c>
      <c r="Q24" s="17">
        <f t="shared" si="17"/>
        <v>0</v>
      </c>
      <c r="R24" s="11">
        <f t="shared" si="18"/>
        <v>684.2876503852262</v>
      </c>
      <c r="S24" s="11"/>
      <c r="T24" s="10">
        <f t="shared" si="22"/>
        <v>-300</v>
      </c>
      <c r="U24" s="16">
        <f t="shared" si="23"/>
        <v>1150</v>
      </c>
      <c r="V24" s="11">
        <f>IF(Parameter!B$37="nein",0,SUM(D24:K24)+O24+S24+T24+AnlagenpreisPV*Investitionsabzug-IF(Auszahlung1&lt;0.95,0.05*Kredit1,(1-Auszahlung1)*Kredit1))</f>
        <v>384.28765038522624</v>
      </c>
      <c r="W24" s="11">
        <f t="shared" si="25"/>
        <v>-115.28629511556787</v>
      </c>
      <c r="X24" s="11"/>
      <c r="Y24" s="11">
        <f>R24+X24+IF(Parameter!B$37="ja",W24,0)</f>
        <v>569.0013552696583</v>
      </c>
      <c r="Z24" s="11">
        <f t="shared" si="9"/>
        <v>354.5828329754899</v>
      </c>
      <c r="AA24" s="11">
        <f t="shared" si="21"/>
        <v>-5396.986786482364</v>
      </c>
      <c r="AB24" s="11">
        <f t="shared" si="10"/>
        <v>71.17108556815955</v>
      </c>
      <c r="AC24" s="10">
        <f t="shared" si="11"/>
        <v>2185.532621824418</v>
      </c>
    </row>
    <row r="25" spans="1:29" s="124" customFormat="1" ht="12.75">
      <c r="A25" s="11">
        <v>17</v>
      </c>
      <c r="B25" s="47">
        <f t="shared" si="19"/>
        <v>2033</v>
      </c>
      <c r="C25" s="11">
        <f t="shared" si="12"/>
        <v>3489.6025797465877</v>
      </c>
      <c r="D25" s="11">
        <f t="shared" si="20"/>
        <v>171.88426358424064</v>
      </c>
      <c r="E25" s="11">
        <f t="shared" si="0"/>
        <v>0</v>
      </c>
      <c r="F25" s="11">
        <f t="shared" si="1"/>
        <v>781.4930486807095</v>
      </c>
      <c r="G25" s="11">
        <f t="shared" si="2"/>
        <v>0</v>
      </c>
      <c r="H25" s="11">
        <f>-$F$2*C25*(StrompreisNetto+Parameter!B$62/Parameter!B$61)*(1+Strompreissteigerung)^A25*IF(OR(Gewerbe="ja",Kleinunternehmer="ja"),0,0.19)</f>
        <v>-146.42105225238817</v>
      </c>
      <c r="I25" s="11">
        <f t="shared" si="13"/>
        <v>-115.92182977820953</v>
      </c>
      <c r="J25" s="11">
        <f t="shared" si="14"/>
        <v>0</v>
      </c>
      <c r="K25" s="11">
        <f t="shared" si="15"/>
        <v>0</v>
      </c>
      <c r="L25" s="11">
        <f t="shared" si="3"/>
        <v>0</v>
      </c>
      <c r="M25" s="17">
        <f t="shared" si="24"/>
        <v>0</v>
      </c>
      <c r="N25" s="11">
        <f t="shared" si="5"/>
        <v>0</v>
      </c>
      <c r="O25" s="11">
        <f t="shared" si="16"/>
        <v>0</v>
      </c>
      <c r="P25" s="11">
        <f t="shared" si="6"/>
        <v>0</v>
      </c>
      <c r="Q25" s="17">
        <f t="shared" si="17"/>
        <v>0</v>
      </c>
      <c r="R25" s="11">
        <f t="shared" si="18"/>
        <v>691.0344302343526</v>
      </c>
      <c r="S25" s="11"/>
      <c r="T25" s="10">
        <f t="shared" si="22"/>
        <v>-300</v>
      </c>
      <c r="U25" s="16">
        <f t="shared" si="23"/>
        <v>850</v>
      </c>
      <c r="V25" s="11">
        <f>IF(Parameter!B$37="nein",0,SUM(D25:K25)+O25+S25+T25+AnlagenpreisPV*Investitionsabzug-IF(Auszahlung1&lt;0.95,0.05*Kredit1,(1-Auszahlung1)*Kredit1))</f>
        <v>391.0344302343526</v>
      </c>
      <c r="W25" s="11">
        <f t="shared" si="25"/>
        <v>-117.31032907030578</v>
      </c>
      <c r="X25" s="11"/>
      <c r="Y25" s="11">
        <f>R25+X25+IF(Parameter!B$37="ja",W25,0)</f>
        <v>573.7241011640468</v>
      </c>
      <c r="Z25" s="11">
        <f t="shared" si="9"/>
        <v>347.1125165817576</v>
      </c>
      <c r="AA25" s="11">
        <f t="shared" si="21"/>
        <v>-5049.874269900606</v>
      </c>
      <c r="AB25" s="11">
        <f t="shared" si="10"/>
        <v>70.13461344823489</v>
      </c>
      <c r="AC25" s="10">
        <f t="shared" si="11"/>
        <v>2111.2669502090253</v>
      </c>
    </row>
    <row r="26" spans="1:29" s="124" customFormat="1" ht="12.75">
      <c r="A26" s="11">
        <v>18</v>
      </c>
      <c r="B26" s="47">
        <f t="shared" si="19"/>
        <v>2034</v>
      </c>
      <c r="C26" s="11">
        <f t="shared" si="12"/>
        <v>3472.1545668478548</v>
      </c>
      <c r="D26" s="11">
        <f t="shared" si="20"/>
        <v>171.0248422663194</v>
      </c>
      <c r="E26" s="11">
        <f t="shared" si="0"/>
        <v>0</v>
      </c>
      <c r="F26" s="11">
        <f t="shared" si="1"/>
        <v>793.1372951060519</v>
      </c>
      <c r="G26" s="11">
        <f t="shared" si="2"/>
        <v>0</v>
      </c>
      <c r="H26" s="11">
        <f>-$F$2*C26*(StrompreisNetto+Parameter!B$62/Parameter!B$61)*(1+Strompreissteigerung)^A26*IF(OR(Gewerbe="ja",Kleinunternehmer="ja"),0,0.19)</f>
        <v>-148.6027259309487</v>
      </c>
      <c r="I26" s="11">
        <f t="shared" si="13"/>
        <v>-117.66065722488267</v>
      </c>
      <c r="J26" s="11">
        <f t="shared" si="14"/>
        <v>0</v>
      </c>
      <c r="K26" s="11">
        <f t="shared" si="15"/>
        <v>0</v>
      </c>
      <c r="L26" s="11">
        <f t="shared" si="3"/>
        <v>0</v>
      </c>
      <c r="M26" s="17">
        <f t="shared" si="24"/>
        <v>0</v>
      </c>
      <c r="N26" s="11">
        <f t="shared" si="5"/>
        <v>0</v>
      </c>
      <c r="O26" s="11">
        <f t="shared" si="16"/>
        <v>0</v>
      </c>
      <c r="P26" s="11">
        <f t="shared" si="6"/>
        <v>0</v>
      </c>
      <c r="Q26" s="17">
        <f t="shared" si="17"/>
        <v>0</v>
      </c>
      <c r="R26" s="11">
        <f t="shared" si="18"/>
        <v>697.8987542165398</v>
      </c>
      <c r="S26" s="11"/>
      <c r="T26" s="10">
        <f t="shared" si="22"/>
        <v>-300</v>
      </c>
      <c r="U26" s="16">
        <f t="shared" si="23"/>
        <v>550</v>
      </c>
      <c r="V26" s="11">
        <f>IF(Parameter!B$37="nein",0,SUM(D26:K26)+O26+S26+T26+AnlagenpreisPV*Investitionsabzug-IF(Auszahlung1&lt;0.95,0.05*Kredit1,(1-Auszahlung1)*Kredit1))</f>
        <v>397.8987542165398</v>
      </c>
      <c r="W26" s="11">
        <f t="shared" si="25"/>
        <v>-119.36962626496194</v>
      </c>
      <c r="X26" s="11"/>
      <c r="Y26" s="11">
        <f>R26+X26+IF(Parameter!B$37="ja",W26,0)</f>
        <v>578.529127951578</v>
      </c>
      <c r="Z26" s="11">
        <f t="shared" si="9"/>
        <v>339.82489010770735</v>
      </c>
      <c r="AA26" s="11">
        <f t="shared" si="21"/>
        <v>-4710.049379792898</v>
      </c>
      <c r="AB26" s="11">
        <f t="shared" si="10"/>
        <v>69.1132355824839</v>
      </c>
      <c r="AC26" s="10">
        <f t="shared" si="11"/>
        <v>2039.5248693766798</v>
      </c>
    </row>
    <row r="27" spans="1:29" s="124" customFormat="1" ht="12.75">
      <c r="A27" s="11">
        <v>19</v>
      </c>
      <c r="B27" s="47">
        <f t="shared" si="19"/>
        <v>2035</v>
      </c>
      <c r="C27" s="11">
        <f t="shared" si="12"/>
        <v>3454.7937940136153</v>
      </c>
      <c r="D27" s="11">
        <f t="shared" si="20"/>
        <v>170.1697180549878</v>
      </c>
      <c r="E27" s="11">
        <f t="shared" si="0"/>
        <v>0</v>
      </c>
      <c r="F27" s="11">
        <f t="shared" si="1"/>
        <v>804.9550408031322</v>
      </c>
      <c r="G27" s="11">
        <f t="shared" si="2"/>
        <v>0</v>
      </c>
      <c r="H27" s="11">
        <f>-$F$2*C27*(StrompreisNetto+Parameter!B$62/Parameter!B$61)*(1+Strompreissteigerung)^A27*IF(OR(Gewerbe="ja",Kleinunternehmer="ja"),0,0.19)</f>
        <v>-150.81690654731983</v>
      </c>
      <c r="I27" s="11">
        <f t="shared" si="13"/>
        <v>-119.4255670832559</v>
      </c>
      <c r="J27" s="11">
        <f t="shared" si="14"/>
        <v>0</v>
      </c>
      <c r="K27" s="11">
        <f t="shared" si="15"/>
        <v>0</v>
      </c>
      <c r="L27" s="11">
        <f t="shared" si="3"/>
        <v>0</v>
      </c>
      <c r="M27" s="17">
        <f t="shared" si="24"/>
        <v>0</v>
      </c>
      <c r="N27" s="11">
        <f t="shared" si="5"/>
        <v>0</v>
      </c>
      <c r="O27" s="11">
        <f t="shared" si="16"/>
        <v>0</v>
      </c>
      <c r="P27" s="11">
        <f t="shared" si="6"/>
        <v>0</v>
      </c>
      <c r="Q27" s="17">
        <f t="shared" si="17"/>
        <v>0</v>
      </c>
      <c r="R27" s="11">
        <f t="shared" si="18"/>
        <v>704.8822852275442</v>
      </c>
      <c r="S27" s="11"/>
      <c r="T27" s="10">
        <f t="shared" si="22"/>
        <v>-300</v>
      </c>
      <c r="U27" s="16">
        <f t="shared" si="23"/>
        <v>250</v>
      </c>
      <c r="V27" s="11">
        <f>IF(Parameter!B$37="nein",0,SUM(D27:K27)+O27+S27+T27+AnlagenpreisPV*Investitionsabzug-IF(Auszahlung1&lt;0.95,0.05*Kredit1,(1-Auszahlung1)*Kredit1))</f>
        <v>404.88228522754423</v>
      </c>
      <c r="W27" s="11">
        <f t="shared" si="25"/>
        <v>-121.46468556826326</v>
      </c>
      <c r="X27" s="11"/>
      <c r="Y27" s="11">
        <f>R27+X27+IF(Parameter!B$37="ja",W27,0)</f>
        <v>583.417599659281</v>
      </c>
      <c r="Z27" s="11">
        <f t="shared" si="9"/>
        <v>332.7149048818417</v>
      </c>
      <c r="AA27" s="11">
        <f t="shared" si="21"/>
        <v>-4377.3344749110565</v>
      </c>
      <c r="AB27" s="11">
        <f t="shared" si="10"/>
        <v>68.10673215167103</v>
      </c>
      <c r="AC27" s="10">
        <f t="shared" si="11"/>
        <v>1970.2206262425207</v>
      </c>
    </row>
    <row r="28" spans="1:29" s="124" customFormat="1" ht="12.75">
      <c r="A28" s="129">
        <v>20</v>
      </c>
      <c r="B28" s="130">
        <f t="shared" si="19"/>
        <v>2036</v>
      </c>
      <c r="C28" s="129">
        <f>Stromertrag*kWp*(1-Ertragsminderung)^A28</f>
        <v>3437.5198250435474</v>
      </c>
      <c r="D28" s="129">
        <f t="shared" si="20"/>
        <v>169.3188694647129</v>
      </c>
      <c r="E28" s="129">
        <f t="shared" si="0"/>
        <v>0</v>
      </c>
      <c r="F28" s="129">
        <f t="shared" si="1"/>
        <v>816.9488709110989</v>
      </c>
      <c r="G28" s="129">
        <f t="shared" si="2"/>
        <v>0</v>
      </c>
      <c r="H28" s="129">
        <f>-$F$2*C28*(StrompreisNetto+Parameter!B$62/Parameter!B$61)*(1+Strompreissteigerung)^A28*IF(OR(Gewerbe="ja",Kleinunternehmer="ja"),0,0.19)</f>
        <v>-153.0640784548749</v>
      </c>
      <c r="I28" s="129">
        <f t="shared" si="13"/>
        <v>-121.21695058950469</v>
      </c>
      <c r="J28" s="129">
        <f t="shared" si="14"/>
        <v>0</v>
      </c>
      <c r="K28" s="129">
        <f t="shared" si="15"/>
        <v>0</v>
      </c>
      <c r="L28" s="129">
        <f t="shared" si="3"/>
        <v>0</v>
      </c>
      <c r="M28" s="131">
        <f>M27+L28</f>
        <v>0</v>
      </c>
      <c r="N28" s="129">
        <f t="shared" si="5"/>
        <v>0</v>
      </c>
      <c r="O28" s="129">
        <f t="shared" si="16"/>
        <v>0</v>
      </c>
      <c r="P28" s="129">
        <f t="shared" si="6"/>
        <v>0</v>
      </c>
      <c r="Q28" s="131">
        <f t="shared" si="17"/>
        <v>0</v>
      </c>
      <c r="R28" s="129">
        <f t="shared" si="18"/>
        <v>711.9867113314322</v>
      </c>
      <c r="S28" s="129"/>
      <c r="T28" s="132">
        <f>-U27</f>
        <v>-250</v>
      </c>
      <c r="U28" s="128">
        <f>U27+T28</f>
        <v>0</v>
      </c>
      <c r="V28" s="11">
        <f>IF(Parameter!B$37="nein",0,SUM(D28:K28)+O28+S28+T28+AnlagenpreisPV*Investitionsabzug-IF(Auszahlung1&lt;0.95,0.05*Kredit1,(1-Auszahlung1)*Kredit1))</f>
        <v>461.98671133143216</v>
      </c>
      <c r="W28" s="129">
        <f t="shared" si="25"/>
        <v>-138.59601339942964</v>
      </c>
      <c r="X28" s="129"/>
      <c r="Y28" s="129">
        <f>R28+X28+IF(Parameter!B$37="ja",W28,0)</f>
        <v>573.3906979320025</v>
      </c>
      <c r="Z28" s="129">
        <f t="shared" si="9"/>
        <v>317.47252712093047</v>
      </c>
      <c r="AA28" s="129">
        <f>AA27+Z28</f>
        <v>-4059.861947790126</v>
      </c>
      <c r="AB28" s="132">
        <f t="shared" si="10"/>
        <v>67.11488653781171</v>
      </c>
      <c r="AC28" s="132">
        <f t="shared" si="11"/>
        <v>1903.2713816614644</v>
      </c>
    </row>
    <row r="29" spans="1:29" s="121" customFormat="1" ht="12.75">
      <c r="A29" s="109"/>
      <c r="B29" s="109"/>
      <c r="C29" s="8">
        <f aca="true" t="shared" si="26" ref="C29:J29">SUM(C8:C28)</f>
        <v>72238.05481633416</v>
      </c>
      <c r="D29" s="8">
        <f>SUM(D8:D28)</f>
        <v>3558.1658859746967</v>
      </c>
      <c r="E29" s="8">
        <f>SUM(E8:E28)</f>
        <v>0</v>
      </c>
      <c r="F29" s="8">
        <f t="shared" si="26"/>
        <v>14265.641685669412</v>
      </c>
      <c r="G29" s="8">
        <f>SUM(G8:G28)</f>
        <v>0</v>
      </c>
      <c r="H29" s="8">
        <f>SUM(H8:H28)</f>
        <v>-2672.820020852999</v>
      </c>
      <c r="I29" s="8">
        <f t="shared" si="26"/>
        <v>-2307.3469898898384</v>
      </c>
      <c r="J29" s="8">
        <f t="shared" si="26"/>
        <v>0</v>
      </c>
      <c r="K29" s="110"/>
      <c r="L29" s="8"/>
      <c r="M29" s="111"/>
      <c r="N29" s="110"/>
      <c r="O29" s="110"/>
      <c r="P29" s="110"/>
      <c r="Q29" s="111"/>
      <c r="R29" s="8">
        <f>SUM(R8:R28)</f>
        <v>843.6405609012721</v>
      </c>
      <c r="S29" s="8">
        <f>SUM(S8:S12)</f>
        <v>0</v>
      </c>
      <c r="T29" s="8">
        <f>SUM(T8:T28)</f>
        <v>-6000</v>
      </c>
      <c r="U29" s="111"/>
      <c r="V29" s="8">
        <f>SUM(V7:V28)</f>
        <v>6843.640560901273</v>
      </c>
      <c r="W29" s="8"/>
      <c r="X29" s="8"/>
      <c r="Y29" s="8">
        <f>SUM(Y7:Y28)</f>
        <v>-1209.4516073691116</v>
      </c>
      <c r="Z29" s="8">
        <f>SUM(Z7:Z28)</f>
        <v>-4059.861947790126</v>
      </c>
      <c r="AA29" s="109"/>
      <c r="AB29" s="112">
        <f>SUM(AB8:AB28)</f>
        <v>1743.5593442747272</v>
      </c>
      <c r="AC29" s="112">
        <f>SUM(AC8:AC28)</f>
        <v>54025.785007052684</v>
      </c>
    </row>
    <row r="30" spans="1:29" ht="12.75">
      <c r="A30" s="134"/>
      <c r="B30" s="134"/>
      <c r="C30" s="134"/>
      <c r="D30" s="135"/>
      <c r="E30" s="135"/>
      <c r="F30" s="135"/>
      <c r="G30" s="135"/>
      <c r="H30" s="135"/>
      <c r="I30" s="135"/>
      <c r="J30" s="135"/>
      <c r="K30" s="135"/>
      <c r="L30" s="11"/>
      <c r="M30" s="136"/>
      <c r="N30" s="137"/>
      <c r="O30" s="138"/>
      <c r="P30" s="138"/>
      <c r="Q30" s="136"/>
      <c r="R30" s="139"/>
      <c r="S30" s="137"/>
      <c r="T30" s="137"/>
      <c r="U30" s="136"/>
      <c r="V30" s="137"/>
      <c r="W30" s="137"/>
      <c r="X30" s="138" t="s">
        <v>80</v>
      </c>
      <c r="Y30" s="139">
        <f>IRR(Y7:Y28,0)</f>
        <v>-0.009601969469578586</v>
      </c>
      <c r="Z30" s="137"/>
      <c r="AA30" s="13"/>
      <c r="AB30" s="140"/>
      <c r="AC30" s="141"/>
    </row>
    <row r="31" spans="1:29" ht="12.75">
      <c r="A31" s="142"/>
      <c r="B31" s="142"/>
      <c r="C31" s="142"/>
      <c r="D31" s="143"/>
      <c r="E31" s="143"/>
      <c r="F31" s="143"/>
      <c r="G31" s="143"/>
      <c r="H31" s="143"/>
      <c r="I31" s="143"/>
      <c r="J31" s="143"/>
      <c r="K31" s="143"/>
      <c r="L31" s="129"/>
      <c r="M31" s="144"/>
      <c r="N31" s="143"/>
      <c r="O31" s="145"/>
      <c r="P31" s="145"/>
      <c r="Q31" s="144"/>
      <c r="R31" s="146"/>
      <c r="S31" s="143"/>
      <c r="T31" s="143"/>
      <c r="U31" s="144"/>
      <c r="V31" s="143"/>
      <c r="W31" s="143"/>
      <c r="X31" s="145" t="s">
        <v>81</v>
      </c>
      <c r="Y31" s="146">
        <f>MIRR(Y7:Y28,Y30,ZinssatzWiederanlage)</f>
        <v>0.0012656471484482346</v>
      </c>
      <c r="Z31" s="143"/>
      <c r="AA31" s="142"/>
      <c r="AB31" s="170" t="s">
        <v>136</v>
      </c>
      <c r="AC31" s="127">
        <f>(Anlagenpreis+BatteriespeicherJN*ZuschussBatterie+AB29)/AC29</f>
        <v>0.2543888875003038</v>
      </c>
    </row>
    <row r="32" spans="1:29" s="122" customFormat="1" ht="12.75">
      <c r="A32" s="135"/>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69"/>
      <c r="AC32" s="140"/>
    </row>
    <row r="33" spans="7:9" ht="12.75">
      <c r="G33" s="159"/>
      <c r="H33" s="159"/>
      <c r="I33" s="159"/>
    </row>
    <row r="34" spans="7:28" ht="12.75">
      <c r="G34" s="159"/>
      <c r="H34" s="159"/>
      <c r="I34" s="159"/>
      <c r="AA34" s="165"/>
      <c r="AB34" s="160"/>
    </row>
    <row r="35" spans="27:28" ht="12.75">
      <c r="AA35" s="166"/>
      <c r="AB35" s="159"/>
    </row>
  </sheetData>
  <sheetProtection sheet="1"/>
  <printOptions gridLines="1" horizontalCentered="1"/>
  <pageMargins left="0.3937007874015748" right="0.3937007874015748" top="0.984251968503937" bottom="0.984251968503937" header="0.5118110236220472" footer="0.5118110236220472"/>
  <pageSetup horizontalDpi="600" verticalDpi="600" orientation="landscape" paperSize="9" r:id="rId1"/>
  <headerFooter alignWithMargins="0">
    <oddHeader>&amp;C&amp;F</oddHeader>
    <oddFooter>&amp;C&amp;A</oddFooter>
  </headerFooter>
</worksheet>
</file>

<file path=xl/worksheets/sheet4.xml><?xml version="1.0" encoding="utf-8"?>
<worksheet xmlns="http://schemas.openxmlformats.org/spreadsheetml/2006/main" xmlns:r="http://schemas.openxmlformats.org/officeDocument/2006/relationships">
  <dimension ref="A1:E13"/>
  <sheetViews>
    <sheetView zoomScalePageLayoutView="0" workbookViewId="0" topLeftCell="A1">
      <selection activeCell="E12" sqref="E12"/>
    </sheetView>
  </sheetViews>
  <sheetFormatPr defaultColWidth="9.140625" defaultRowHeight="12.75"/>
  <sheetData>
    <row r="1" spans="1:5" ht="12.75">
      <c r="A1" s="13" t="s">
        <v>53</v>
      </c>
      <c r="B1" s="14">
        <v>0.02</v>
      </c>
      <c r="C1" s="13">
        <v>1</v>
      </c>
      <c r="D1" s="46">
        <f>(E1+E2)/2</f>
        <v>0.99</v>
      </c>
      <c r="E1" s="14">
        <f>SUM(B1:B$12)</f>
        <v>1</v>
      </c>
    </row>
    <row r="2" spans="1:5" ht="12.75">
      <c r="A2" s="13" t="s">
        <v>54</v>
      </c>
      <c r="B2" s="14">
        <v>0.039</v>
      </c>
      <c r="C2" s="13">
        <v>2</v>
      </c>
      <c r="D2" s="46">
        <f aca="true" t="shared" si="0" ref="D2:D12">(E2+E3)/2</f>
        <v>0.9605000000000001</v>
      </c>
      <c r="E2" s="14">
        <f>SUM(B2:B$12)</f>
        <v>0.9800000000000001</v>
      </c>
    </row>
    <row r="3" spans="1:5" ht="12.75">
      <c r="A3" s="13" t="s">
        <v>55</v>
      </c>
      <c r="B3" s="14">
        <v>0.07</v>
      </c>
      <c r="C3" s="13">
        <v>3</v>
      </c>
      <c r="D3" s="46">
        <f t="shared" si="0"/>
        <v>0.9060000000000001</v>
      </c>
      <c r="E3" s="14">
        <f>SUM(B3:B$12)</f>
        <v>0.9410000000000001</v>
      </c>
    </row>
    <row r="4" spans="1:5" ht="12.75">
      <c r="A4" s="13" t="s">
        <v>56</v>
      </c>
      <c r="B4" s="14">
        <v>0.111</v>
      </c>
      <c r="C4" s="13">
        <v>4</v>
      </c>
      <c r="D4" s="46">
        <f t="shared" si="0"/>
        <v>0.8155000000000001</v>
      </c>
      <c r="E4" s="14">
        <f>SUM(B4:B$12)</f>
        <v>0.8710000000000001</v>
      </c>
    </row>
    <row r="5" spans="1:5" ht="12.75">
      <c r="A5" s="13" t="s">
        <v>57</v>
      </c>
      <c r="B5" s="14">
        <v>0.146</v>
      </c>
      <c r="C5" s="13">
        <v>5</v>
      </c>
      <c r="D5" s="46">
        <f t="shared" si="0"/>
        <v>0.687</v>
      </c>
      <c r="E5" s="14">
        <f>SUM(B5:B$12)</f>
        <v>0.76</v>
      </c>
    </row>
    <row r="6" spans="1:5" ht="12.75">
      <c r="A6" s="13" t="s">
        <v>58</v>
      </c>
      <c r="B6" s="14">
        <v>0.153</v>
      </c>
      <c r="C6" s="13">
        <v>6</v>
      </c>
      <c r="D6" s="46">
        <f t="shared" si="0"/>
        <v>0.5375000000000001</v>
      </c>
      <c r="E6" s="14">
        <f>SUM(B6:B$12)</f>
        <v>0.6140000000000001</v>
      </c>
    </row>
    <row r="7" spans="1:5" ht="12.75">
      <c r="A7" s="13" t="s">
        <v>59</v>
      </c>
      <c r="B7" s="14">
        <v>0.154</v>
      </c>
      <c r="C7" s="13">
        <v>7</v>
      </c>
      <c r="D7" s="46">
        <f t="shared" si="0"/>
        <v>0.38400000000000006</v>
      </c>
      <c r="E7" s="14">
        <f>SUM(B7:B$12)</f>
        <v>0.4610000000000001</v>
      </c>
    </row>
    <row r="8" spans="1:5" ht="12.75">
      <c r="A8" s="13" t="s">
        <v>60</v>
      </c>
      <c r="B8" s="14">
        <v>0.134</v>
      </c>
      <c r="C8" s="13">
        <v>8</v>
      </c>
      <c r="D8" s="46">
        <f t="shared" si="0"/>
        <v>0.24000000000000002</v>
      </c>
      <c r="E8" s="14">
        <f>SUM(B8:B$12)</f>
        <v>0.30700000000000005</v>
      </c>
    </row>
    <row r="9" spans="1:5" ht="12.75">
      <c r="A9" s="13" t="s">
        <v>61</v>
      </c>
      <c r="B9" s="14">
        <v>0.085</v>
      </c>
      <c r="C9" s="13">
        <v>9</v>
      </c>
      <c r="D9" s="46">
        <f t="shared" si="0"/>
        <v>0.1305</v>
      </c>
      <c r="E9" s="14">
        <f>SUM(B9:B$12)</f>
        <v>0.173</v>
      </c>
    </row>
    <row r="10" spans="1:5" ht="12.75">
      <c r="A10" s="13" t="s">
        <v>62</v>
      </c>
      <c r="B10" s="14">
        <v>0.049</v>
      </c>
      <c r="C10" s="13">
        <v>10</v>
      </c>
      <c r="D10" s="46">
        <f t="shared" si="0"/>
        <v>0.0635</v>
      </c>
      <c r="E10" s="14">
        <f>SUM(B10:B$12)</f>
        <v>0.08800000000000001</v>
      </c>
    </row>
    <row r="11" spans="1:5" ht="12.75">
      <c r="A11" s="13" t="s">
        <v>63</v>
      </c>
      <c r="B11" s="14">
        <v>0.023</v>
      </c>
      <c r="C11" s="13">
        <v>11</v>
      </c>
      <c r="D11" s="46">
        <f t="shared" si="0"/>
        <v>0.0275</v>
      </c>
      <c r="E11" s="14">
        <f>SUM(B11:B$12)</f>
        <v>0.039</v>
      </c>
    </row>
    <row r="12" spans="1:5" ht="12.75">
      <c r="A12" s="13" t="s">
        <v>64</v>
      </c>
      <c r="B12" s="15">
        <v>0.016</v>
      </c>
      <c r="C12" s="13">
        <v>12</v>
      </c>
      <c r="D12" s="46">
        <f t="shared" si="0"/>
        <v>0.008</v>
      </c>
      <c r="E12" s="14">
        <f>B12</f>
        <v>0.016</v>
      </c>
    </row>
    <row r="13" spans="1:5" ht="12.75">
      <c r="A13" s="13"/>
      <c r="B13" s="14">
        <f>SUM(B1:B12)</f>
        <v>1</v>
      </c>
      <c r="C13" s="13"/>
      <c r="E13" s="14"/>
    </row>
  </sheetData>
  <sheetProtection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J21"/>
  <sheetViews>
    <sheetView zoomScalePageLayoutView="0" workbookViewId="0" topLeftCell="A1">
      <selection activeCell="L6" sqref="L6"/>
    </sheetView>
  </sheetViews>
  <sheetFormatPr defaultColWidth="9.140625" defaultRowHeight="12.75"/>
  <sheetData>
    <row r="2" spans="1:8" ht="12.75">
      <c r="A2">
        <v>2011</v>
      </c>
      <c r="B2">
        <v>2012</v>
      </c>
      <c r="C2" s="105" t="s">
        <v>105</v>
      </c>
      <c r="D2" s="105">
        <v>2013</v>
      </c>
      <c r="E2" s="105">
        <v>2014</v>
      </c>
      <c r="F2" s="105">
        <v>2015</v>
      </c>
      <c r="G2" s="105">
        <v>2016</v>
      </c>
      <c r="H2" s="105">
        <v>2017</v>
      </c>
    </row>
    <row r="3" spans="1:8" ht="12.75">
      <c r="A3" s="42">
        <f>IF(kWp&lt;30,0.2874,IF(kWp&lt;100,(30*0.2874+(kWp-30)*0.2733)/kWp,IF(kWp&lt;1000,(0.2874*30+0.2733*70+(kWp-100)*0.2586)/kWp,(0.2874*30+0.2733*70+0.2586*900+0.2156*(kWp-1000))/kWp)))</f>
        <v>0.2874</v>
      </c>
      <c r="B3" s="42">
        <f>0.85*eegSatz2011</f>
        <v>0.24428999999999998</v>
      </c>
      <c r="C3" s="106">
        <f>IF(kWp&lt;=10,0.195,IF(kWp&lt;=40,(10*0.195+(kWp-10)*0.185)/kWp,IF(kWp&lt;1000,(10*0.195+30*0.185+(kWp-40)*0.165)/kWp,(10*0.195+30*0.185+960*0.165+(kWp-1000)*0.135)/kWp)))</f>
        <v>0.195</v>
      </c>
      <c r="D3" s="106">
        <f>VLOOKUP(IBNMonat,Vergütung!A10:B21,2,TRUE)</f>
        <v>0.14074145356515638</v>
      </c>
      <c r="E3" s="106">
        <f>VLOOKUP(IBNMonat,Vergütung!C10:D21,2,TRUE)</f>
        <v>0.12626154916536222</v>
      </c>
      <c r="F3" s="106">
        <f>VLOOKUP(IBNMonat,Vergütung!E10:F21,2,TRUE)</f>
        <v>0.12314028578916483</v>
      </c>
      <c r="G3" s="106">
        <f>VLOOKUP(IBNMonat,Vergütung!G10:H21,2,TRUE)</f>
        <v>0.12314028578916483</v>
      </c>
      <c r="H3" s="42">
        <f>VLOOKUP(IBNMonat,Vergütung!I10:J21,2,TRUE)</f>
        <v>0.12314028578916483</v>
      </c>
    </row>
    <row r="4" spans="1:4" ht="12.75">
      <c r="A4" s="42">
        <f>eegSatz2011-0.1638</f>
        <v>0.12359999999999999</v>
      </c>
      <c r="B4" s="42">
        <f>eegSatz2012-0.1638</f>
        <v>0.08048999999999998</v>
      </c>
      <c r="C4" s="105" t="s">
        <v>67</v>
      </c>
      <c r="D4" t="s">
        <v>70</v>
      </c>
    </row>
    <row r="5" spans="1:4" ht="12.75">
      <c r="A5" s="42">
        <f>eegSatz2011-0.12</f>
        <v>0.1674</v>
      </c>
      <c r="B5" s="42">
        <f>eegSatz2012-0.12</f>
        <v>0.12428999999999998</v>
      </c>
      <c r="C5" s="105" t="s">
        <v>69</v>
      </c>
      <c r="D5" t="s">
        <v>70</v>
      </c>
    </row>
    <row r="9" spans="1:9" ht="12.75">
      <c r="A9">
        <v>2013</v>
      </c>
      <c r="C9">
        <v>2014</v>
      </c>
      <c r="E9">
        <v>2015</v>
      </c>
      <c r="G9">
        <v>2016</v>
      </c>
      <c r="I9">
        <v>2017</v>
      </c>
    </row>
    <row r="10" spans="1:10" ht="12.75">
      <c r="A10">
        <v>1</v>
      </c>
      <c r="B10" s="42">
        <f>[0]!eegSatz2012b*0.99^6*0.975^(A10+2)</f>
        <v>0.1701608420554999</v>
      </c>
      <c r="C10">
        <v>1</v>
      </c>
      <c r="D10" s="45">
        <f>B21*0.986</f>
        <v>0.13682827819023075</v>
      </c>
      <c r="E10">
        <v>1</v>
      </c>
      <c r="F10" s="43">
        <f>D21*0.9975</f>
        <v>0.1256310305542177</v>
      </c>
      <c r="G10">
        <v>1</v>
      </c>
      <c r="H10" s="43">
        <f>F21</f>
        <v>0.12314028578916483</v>
      </c>
      <c r="I10">
        <v>1</v>
      </c>
      <c r="J10" s="43">
        <f>H21</f>
        <v>0.12314028578916483</v>
      </c>
    </row>
    <row r="11" spans="1:10" ht="12.75">
      <c r="A11">
        <f>A10+1</f>
        <v>2</v>
      </c>
      <c r="B11" s="44">
        <f>B10*0.978</f>
        <v>0.1664173035302789</v>
      </c>
      <c r="C11">
        <f>C10+1</f>
        <v>2</v>
      </c>
      <c r="D11" s="42">
        <f aca="true" t="shared" si="0" ref="D11:D16">D10*0.99</f>
        <v>0.13545999540832843</v>
      </c>
      <c r="E11">
        <f>E10+1</f>
        <v>2</v>
      </c>
      <c r="F11" s="43">
        <f>F10*0.9975</f>
        <v>0.12531695297783216</v>
      </c>
      <c r="G11">
        <f aca="true" t="shared" si="1" ref="G11:I21">G10+1</f>
        <v>2</v>
      </c>
      <c r="H11" s="43">
        <f>H10</f>
        <v>0.12314028578916483</v>
      </c>
      <c r="I11">
        <f t="shared" si="1"/>
        <v>2</v>
      </c>
      <c r="J11" s="43">
        <f>J10</f>
        <v>0.12314028578916483</v>
      </c>
    </row>
    <row r="12" spans="1:10" ht="12.75">
      <c r="A12">
        <f aca="true" t="shared" si="2" ref="A12:A21">A11+1</f>
        <v>3</v>
      </c>
      <c r="B12" s="44">
        <f>B11*0.978</f>
        <v>0.16275612285261276</v>
      </c>
      <c r="C12">
        <f aca="true" t="shared" si="3" ref="C12:E21">C11+1</f>
        <v>3</v>
      </c>
      <c r="D12" s="42">
        <f t="shared" si="0"/>
        <v>0.13410539545424513</v>
      </c>
      <c r="E12">
        <f t="shared" si="3"/>
        <v>3</v>
      </c>
      <c r="F12" s="43">
        <f>F11*0.9975</f>
        <v>0.1250036605953876</v>
      </c>
      <c r="G12">
        <f t="shared" si="1"/>
        <v>3</v>
      </c>
      <c r="H12" s="43">
        <f aca="true" t="shared" si="4" ref="H12:J21">H11</f>
        <v>0.12314028578916483</v>
      </c>
      <c r="I12">
        <f t="shared" si="1"/>
        <v>3</v>
      </c>
      <c r="J12" s="43">
        <f t="shared" si="4"/>
        <v>0.12314028578916483</v>
      </c>
    </row>
    <row r="13" spans="1:10" ht="12.75">
      <c r="A13">
        <f t="shared" si="2"/>
        <v>4</v>
      </c>
      <c r="B13" s="44">
        <f>B12*0.978</f>
        <v>0.15917548814985527</v>
      </c>
      <c r="C13">
        <f t="shared" si="3"/>
        <v>4</v>
      </c>
      <c r="D13" s="42">
        <f t="shared" si="0"/>
        <v>0.13276434149970268</v>
      </c>
      <c r="E13">
        <f t="shared" si="3"/>
        <v>4</v>
      </c>
      <c r="F13" s="43">
        <f aca="true" t="shared" si="5" ref="F13:F18">F12*0.9975</f>
        <v>0.12469115144389913</v>
      </c>
      <c r="G13">
        <f t="shared" si="1"/>
        <v>4</v>
      </c>
      <c r="H13" s="43">
        <f t="shared" si="4"/>
        <v>0.12314028578916483</v>
      </c>
      <c r="I13">
        <f t="shared" si="1"/>
        <v>4</v>
      </c>
      <c r="J13" s="43">
        <f t="shared" si="4"/>
        <v>0.12314028578916483</v>
      </c>
    </row>
    <row r="14" spans="1:10" ht="12.75">
      <c r="A14">
        <f t="shared" si="2"/>
        <v>5</v>
      </c>
      <c r="B14" s="43">
        <f aca="true" t="shared" si="6" ref="B14:B19">B13*0.982</f>
        <v>0.15631032936315786</v>
      </c>
      <c r="C14">
        <f t="shared" si="3"/>
        <v>5</v>
      </c>
      <c r="D14" s="42">
        <f t="shared" si="0"/>
        <v>0.13143669808470565</v>
      </c>
      <c r="E14">
        <f t="shared" si="3"/>
        <v>5</v>
      </c>
      <c r="F14" s="43">
        <f t="shared" si="5"/>
        <v>0.12437942356528939</v>
      </c>
      <c r="G14">
        <f t="shared" si="1"/>
        <v>5</v>
      </c>
      <c r="H14" s="43">
        <f t="shared" si="4"/>
        <v>0.12314028578916483</v>
      </c>
      <c r="I14">
        <f t="shared" si="1"/>
        <v>5</v>
      </c>
      <c r="J14" s="43">
        <f t="shared" si="4"/>
        <v>0.12314028578916483</v>
      </c>
    </row>
    <row r="15" spans="1:10" ht="12.75">
      <c r="A15">
        <f t="shared" si="2"/>
        <v>6</v>
      </c>
      <c r="B15" s="43">
        <f t="shared" si="6"/>
        <v>0.15349674343462102</v>
      </c>
      <c r="C15">
        <f t="shared" si="3"/>
        <v>6</v>
      </c>
      <c r="D15" s="42">
        <f t="shared" si="0"/>
        <v>0.1301223311038586</v>
      </c>
      <c r="E15">
        <f t="shared" si="3"/>
        <v>6</v>
      </c>
      <c r="F15" s="43">
        <f t="shared" si="5"/>
        <v>0.12406847500637617</v>
      </c>
      <c r="G15">
        <f t="shared" si="1"/>
        <v>6</v>
      </c>
      <c r="H15" s="43">
        <f t="shared" si="4"/>
        <v>0.12314028578916483</v>
      </c>
      <c r="I15">
        <f t="shared" si="1"/>
        <v>6</v>
      </c>
      <c r="J15" s="43">
        <f t="shared" si="4"/>
        <v>0.12314028578916483</v>
      </c>
    </row>
    <row r="16" spans="1:10" ht="12.75">
      <c r="A16">
        <f t="shared" si="2"/>
        <v>7</v>
      </c>
      <c r="B16" s="43">
        <f t="shared" si="6"/>
        <v>0.15073380205279785</v>
      </c>
      <c r="C16">
        <f t="shared" si="3"/>
        <v>7</v>
      </c>
      <c r="D16" s="42">
        <f t="shared" si="0"/>
        <v>0.12882110779282002</v>
      </c>
      <c r="E16">
        <f t="shared" si="3"/>
        <v>7</v>
      </c>
      <c r="F16" s="43">
        <f t="shared" si="5"/>
        <v>0.12375830381886024</v>
      </c>
      <c r="G16">
        <f t="shared" si="1"/>
        <v>7</v>
      </c>
      <c r="H16" s="43">
        <f t="shared" si="4"/>
        <v>0.12314028578916483</v>
      </c>
      <c r="I16">
        <f t="shared" si="1"/>
        <v>7</v>
      </c>
      <c r="J16" s="43">
        <f t="shared" si="4"/>
        <v>0.12314028578916483</v>
      </c>
    </row>
    <row r="17" spans="1:10" ht="12.75">
      <c r="A17">
        <f t="shared" si="2"/>
        <v>8</v>
      </c>
      <c r="B17" s="43">
        <f t="shared" si="6"/>
        <v>0.1480205936158475</v>
      </c>
      <c r="C17">
        <f t="shared" si="3"/>
        <v>8</v>
      </c>
      <c r="D17" s="45">
        <f>D16*0.99+IF(kWp&lt;=10,0,(kWp-10)/kWp*0.003)</f>
        <v>0.12753289671489182</v>
      </c>
      <c r="E17">
        <f t="shared" si="3"/>
        <v>8</v>
      </c>
      <c r="F17" s="43">
        <f t="shared" si="5"/>
        <v>0.1234489080593131</v>
      </c>
      <c r="G17">
        <f t="shared" si="1"/>
        <v>8</v>
      </c>
      <c r="H17" s="43">
        <f t="shared" si="4"/>
        <v>0.12314028578916483</v>
      </c>
      <c r="I17">
        <f t="shared" si="1"/>
        <v>8</v>
      </c>
      <c r="J17" s="43">
        <f t="shared" si="4"/>
        <v>0.12314028578916483</v>
      </c>
    </row>
    <row r="18" spans="1:10" ht="12.75">
      <c r="A18">
        <f t="shared" si="2"/>
        <v>9</v>
      </c>
      <c r="B18" s="43">
        <f t="shared" si="6"/>
        <v>0.14535622293076222</v>
      </c>
      <c r="C18">
        <f t="shared" si="3"/>
        <v>9</v>
      </c>
      <c r="D18" s="43">
        <f>D17*0.995</f>
        <v>0.12689523223131735</v>
      </c>
      <c r="E18">
        <f t="shared" si="3"/>
        <v>9</v>
      </c>
      <c r="F18" s="43">
        <f t="shared" si="5"/>
        <v>0.12314028578916483</v>
      </c>
      <c r="G18">
        <f t="shared" si="1"/>
        <v>9</v>
      </c>
      <c r="H18" s="43">
        <f t="shared" si="4"/>
        <v>0.12314028578916483</v>
      </c>
      <c r="I18">
        <f t="shared" si="1"/>
        <v>9</v>
      </c>
      <c r="J18" s="43">
        <f t="shared" si="4"/>
        <v>0.12314028578916483</v>
      </c>
    </row>
    <row r="19" spans="1:10" ht="12.75">
      <c r="A19">
        <f t="shared" si="2"/>
        <v>10</v>
      </c>
      <c r="B19" s="43">
        <f t="shared" si="6"/>
        <v>0.1427398109180085</v>
      </c>
      <c r="C19">
        <f t="shared" si="3"/>
        <v>10</v>
      </c>
      <c r="D19" s="171">
        <f>D18*0.9975</f>
        <v>0.12657799415073906</v>
      </c>
      <c r="E19">
        <f t="shared" si="3"/>
        <v>10</v>
      </c>
      <c r="F19" s="43">
        <f>F18</f>
        <v>0.12314028578916483</v>
      </c>
      <c r="G19">
        <f t="shared" si="1"/>
        <v>10</v>
      </c>
      <c r="H19" s="43">
        <f t="shared" si="4"/>
        <v>0.12314028578916483</v>
      </c>
      <c r="I19">
        <f t="shared" si="1"/>
        <v>10</v>
      </c>
      <c r="J19" s="43">
        <f t="shared" si="4"/>
        <v>0.12314028578916483</v>
      </c>
    </row>
    <row r="20" spans="1:10" ht="12.75">
      <c r="A20">
        <f t="shared" si="2"/>
        <v>11</v>
      </c>
      <c r="B20" s="45">
        <f>B19*0.986</f>
        <v>0.14074145356515638</v>
      </c>
      <c r="C20">
        <f t="shared" si="3"/>
        <v>11</v>
      </c>
      <c r="D20" s="43">
        <f>D19*0.9975</f>
        <v>0.12626154916536222</v>
      </c>
      <c r="E20">
        <f t="shared" si="3"/>
        <v>11</v>
      </c>
      <c r="F20" s="43">
        <f>F19</f>
        <v>0.12314028578916483</v>
      </c>
      <c r="G20">
        <f t="shared" si="1"/>
        <v>11</v>
      </c>
      <c r="H20" s="43">
        <f t="shared" si="4"/>
        <v>0.12314028578916483</v>
      </c>
      <c r="I20">
        <f t="shared" si="1"/>
        <v>11</v>
      </c>
      <c r="J20" s="43">
        <f t="shared" si="4"/>
        <v>0.12314028578916483</v>
      </c>
    </row>
    <row r="21" spans="1:10" ht="12.75">
      <c r="A21">
        <f t="shared" si="2"/>
        <v>12</v>
      </c>
      <c r="B21" s="45">
        <f>B20*0.986</f>
        <v>0.13877107321524418</v>
      </c>
      <c r="C21">
        <f t="shared" si="3"/>
        <v>12</v>
      </c>
      <c r="D21" s="43">
        <f>D20*0.9975</f>
        <v>0.12594589529244882</v>
      </c>
      <c r="E21">
        <f t="shared" si="3"/>
        <v>12</v>
      </c>
      <c r="F21" s="43">
        <f>F20</f>
        <v>0.12314028578916483</v>
      </c>
      <c r="G21">
        <f t="shared" si="1"/>
        <v>12</v>
      </c>
      <c r="H21" s="43">
        <f t="shared" si="4"/>
        <v>0.12314028578916483</v>
      </c>
      <c r="I21">
        <f t="shared" si="1"/>
        <v>12</v>
      </c>
      <c r="J21" s="43">
        <f t="shared" si="4"/>
        <v>0.12314028578916483</v>
      </c>
    </row>
  </sheetData>
  <sheetProtection sheet="1" objects="1" scenarios="1"/>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63"/>
  <sheetViews>
    <sheetView zoomScalePageLayoutView="0" workbookViewId="0" topLeftCell="A1">
      <pane xSplit="8" ySplit="1" topLeftCell="I2" activePane="bottomRight" state="frozen"/>
      <selection pane="topLeft" activeCell="A1" sqref="A1"/>
      <selection pane="topRight" activeCell="I1" sqref="I1"/>
      <selection pane="bottomLeft" activeCell="A18" sqref="A18"/>
      <selection pane="bottomRight" activeCell="D2" sqref="D2"/>
    </sheetView>
  </sheetViews>
  <sheetFormatPr defaultColWidth="11.421875" defaultRowHeight="12.75"/>
  <cols>
    <col min="1" max="1" width="13.00390625" style="150" bestFit="1" customWidth="1"/>
    <col min="2" max="2" width="25.140625" style="150" bestFit="1" customWidth="1"/>
    <col min="3" max="3" width="22.8515625" style="150" bestFit="1" customWidth="1"/>
    <col min="4" max="4" width="19.140625" style="150" bestFit="1" customWidth="1"/>
    <col min="5" max="5" width="8.28125" style="150" bestFit="1" customWidth="1"/>
    <col min="6" max="6" width="6.7109375" style="150" bestFit="1" customWidth="1"/>
    <col min="7" max="7" width="50.7109375" style="155" customWidth="1"/>
    <col min="8" max="8" width="13.28125" style="155" bestFit="1" customWidth="1"/>
  </cols>
  <sheetData>
    <row r="1" spans="1:8" ht="12.75">
      <c r="A1" s="147" t="s">
        <v>137</v>
      </c>
      <c r="B1" s="147" t="s">
        <v>138</v>
      </c>
      <c r="C1" s="147" t="s">
        <v>139</v>
      </c>
      <c r="D1" s="147" t="s">
        <v>140</v>
      </c>
      <c r="E1" s="147" t="s">
        <v>141</v>
      </c>
      <c r="F1" s="147" t="s">
        <v>142</v>
      </c>
      <c r="G1" s="148" t="s">
        <v>143</v>
      </c>
      <c r="H1" s="149" t="s">
        <v>144</v>
      </c>
    </row>
    <row r="2" spans="1:7" ht="38.25">
      <c r="A2" s="150" t="s">
        <v>145</v>
      </c>
      <c r="B2" s="150" t="s">
        <v>146</v>
      </c>
      <c r="C2" s="151">
        <f>Parameter!$B$39</f>
        <v>12000</v>
      </c>
      <c r="D2" s="152" t="s">
        <v>164</v>
      </c>
      <c r="E2" s="153" t="s">
        <v>147</v>
      </c>
      <c r="G2" s="154" t="s">
        <v>237</v>
      </c>
    </row>
    <row r="3" spans="1:5" ht="12.75">
      <c r="A3" s="150" t="s">
        <v>145</v>
      </c>
      <c r="B3" s="150" t="s">
        <v>148</v>
      </c>
      <c r="C3" s="151">
        <f>Parameter!$B$18</f>
        <v>6000</v>
      </c>
      <c r="D3" s="152" t="s">
        <v>301</v>
      </c>
      <c r="E3" s="153" t="s">
        <v>147</v>
      </c>
    </row>
    <row r="4" spans="1:5" ht="12.75">
      <c r="A4" s="150" t="s">
        <v>145</v>
      </c>
      <c r="B4" s="150" t="s">
        <v>150</v>
      </c>
      <c r="C4" s="156">
        <f>Parameter!$B$45</f>
        <v>1</v>
      </c>
      <c r="D4" s="152" t="s">
        <v>219</v>
      </c>
      <c r="E4" s="153" t="s">
        <v>147</v>
      </c>
    </row>
    <row r="5" spans="1:8" ht="25.5">
      <c r="A5" s="150" t="s">
        <v>145</v>
      </c>
      <c r="B5" s="150" t="s">
        <v>151</v>
      </c>
      <c r="C5" s="151">
        <f>Parameter!$B$19</f>
        <v>1</v>
      </c>
      <c r="D5" s="152" t="s">
        <v>190</v>
      </c>
      <c r="E5" s="153" t="s">
        <v>147</v>
      </c>
      <c r="H5" s="154" t="s">
        <v>248</v>
      </c>
    </row>
    <row r="6" spans="1:8" ht="12.75">
      <c r="A6" s="150" t="s">
        <v>145</v>
      </c>
      <c r="B6" s="150" t="s">
        <v>153</v>
      </c>
      <c r="C6" s="151">
        <f>Parameter!$B$20</f>
        <v>2</v>
      </c>
      <c r="D6" s="152" t="s">
        <v>149</v>
      </c>
      <c r="E6" s="153" t="s">
        <v>147</v>
      </c>
      <c r="H6" s="154" t="s">
        <v>249</v>
      </c>
    </row>
    <row r="7" spans="1:5" ht="12.75">
      <c r="A7" s="150" t="s">
        <v>145</v>
      </c>
      <c r="B7" s="150" t="s">
        <v>155</v>
      </c>
      <c r="C7" s="156">
        <f>Parameter!$B$31</f>
        <v>0.25</v>
      </c>
      <c r="D7" s="152" t="s">
        <v>173</v>
      </c>
      <c r="E7" s="153" t="s">
        <v>147</v>
      </c>
    </row>
    <row r="8" spans="1:5" ht="12.75">
      <c r="A8" s="150" t="s">
        <v>145</v>
      </c>
      <c r="B8" s="150" t="s">
        <v>155</v>
      </c>
      <c r="C8" s="156">
        <f>Parameter!$B$32</f>
        <v>0.1</v>
      </c>
      <c r="D8" s="152" t="s">
        <v>172</v>
      </c>
      <c r="E8" s="153" t="s">
        <v>147</v>
      </c>
    </row>
    <row r="9" spans="1:5" ht="12.75">
      <c r="A9" s="150" t="s">
        <v>145</v>
      </c>
      <c r="B9" s="150" t="s">
        <v>157</v>
      </c>
      <c r="C9" s="157">
        <f>Parameter!$B$46</f>
        <v>0.0025</v>
      </c>
      <c r="D9" s="152" t="s">
        <v>217</v>
      </c>
      <c r="E9" s="153" t="s">
        <v>147</v>
      </c>
    </row>
    <row r="10" spans="1:5" ht="12.75">
      <c r="A10" s="150" t="s">
        <v>145</v>
      </c>
      <c r="B10" s="150" t="s">
        <v>46</v>
      </c>
      <c r="C10" s="150">
        <f>Parameter!$B$26</f>
        <v>0</v>
      </c>
      <c r="D10" s="152" t="s">
        <v>215</v>
      </c>
      <c r="E10" s="153" t="s">
        <v>147</v>
      </c>
    </row>
    <row r="11" spans="1:8" ht="12.75">
      <c r="A11" s="150" t="s">
        <v>145</v>
      </c>
      <c r="B11" s="150" t="s">
        <v>160</v>
      </c>
      <c r="C11" s="156" t="str">
        <f>Parameter!$B$72</f>
        <v>nein</v>
      </c>
      <c r="D11" s="152" t="s">
        <v>304</v>
      </c>
      <c r="E11" s="153" t="s">
        <v>147</v>
      </c>
      <c r="H11" s="154" t="s">
        <v>250</v>
      </c>
    </row>
    <row r="12" spans="1:7" ht="63.75">
      <c r="A12" s="150" t="s">
        <v>145</v>
      </c>
      <c r="B12" s="150" t="s">
        <v>162</v>
      </c>
      <c r="C12" s="201">
        <f>Parameter!$B$40</f>
        <v>0.12314028578916483</v>
      </c>
      <c r="D12" s="152" t="s">
        <v>303</v>
      </c>
      <c r="E12" s="153" t="s">
        <v>147</v>
      </c>
      <c r="G12" s="154" t="s">
        <v>270</v>
      </c>
    </row>
    <row r="13" spans="1:7" ht="114.75">
      <c r="A13" s="150" t="s">
        <v>145</v>
      </c>
      <c r="B13" s="150" t="s">
        <v>163</v>
      </c>
      <c r="C13" s="150">
        <f>Parameter!$B$41</f>
        <v>0</v>
      </c>
      <c r="D13" s="152" t="s">
        <v>302</v>
      </c>
      <c r="E13" s="153" t="s">
        <v>147</v>
      </c>
      <c r="G13" s="154" t="s">
        <v>238</v>
      </c>
    </row>
    <row r="14" spans="1:5" ht="12.75">
      <c r="A14" s="150" t="s">
        <v>145</v>
      </c>
      <c r="B14" s="150" t="s">
        <v>165</v>
      </c>
      <c r="C14" s="201">
        <f>Parameter!$B$67</f>
        <v>0.06354</v>
      </c>
      <c r="D14" s="152" t="s">
        <v>168</v>
      </c>
      <c r="E14" s="153" t="s">
        <v>147</v>
      </c>
    </row>
    <row r="15" spans="1:7" ht="12.75">
      <c r="A15" s="150" t="s">
        <v>145</v>
      </c>
      <c r="B15" s="150" t="s">
        <v>167</v>
      </c>
      <c r="C15" s="150">
        <f>Parameter!$E$67</f>
        <v>0</v>
      </c>
      <c r="D15" s="152" t="s">
        <v>166</v>
      </c>
      <c r="E15" s="153" t="s">
        <v>147</v>
      </c>
      <c r="G15" s="154" t="s">
        <v>233</v>
      </c>
    </row>
    <row r="16" spans="1:7" ht="38.25">
      <c r="A16" s="150" t="s">
        <v>145</v>
      </c>
      <c r="B16" s="150" t="s">
        <v>169</v>
      </c>
      <c r="C16" s="151">
        <f>Parameter!$B$14</f>
        <v>13140</v>
      </c>
      <c r="D16" s="152" t="s">
        <v>170</v>
      </c>
      <c r="E16" s="153" t="s">
        <v>147</v>
      </c>
      <c r="G16" s="154" t="s">
        <v>239</v>
      </c>
    </row>
    <row r="17" spans="1:5" ht="12.75">
      <c r="A17" s="150" t="s">
        <v>145</v>
      </c>
      <c r="B17" s="150" t="s">
        <v>171</v>
      </c>
      <c r="C17" s="156">
        <f>Parameter!$B$30</f>
        <v>0.4</v>
      </c>
      <c r="D17" s="152" t="s">
        <v>175</v>
      </c>
      <c r="E17" s="153" t="s">
        <v>147</v>
      </c>
    </row>
    <row r="18" spans="1:5" ht="12.75">
      <c r="A18" s="150" t="s">
        <v>145</v>
      </c>
      <c r="B18" s="150" t="s">
        <v>273</v>
      </c>
      <c r="C18" s="156">
        <f>Parameter!$B$29</f>
        <v>0.2</v>
      </c>
      <c r="D18" s="152" t="s">
        <v>207</v>
      </c>
      <c r="E18" s="153" t="s">
        <v>147</v>
      </c>
    </row>
    <row r="19" spans="1:5" ht="12.75">
      <c r="A19" s="150" t="s">
        <v>145</v>
      </c>
      <c r="B19" s="150" t="s">
        <v>174</v>
      </c>
      <c r="C19" s="157">
        <f>Parameter!$B$28</f>
        <v>0.005</v>
      </c>
      <c r="D19" s="152" t="s">
        <v>159</v>
      </c>
      <c r="E19" s="153" t="s">
        <v>147</v>
      </c>
    </row>
    <row r="20" spans="1:8" ht="12.75">
      <c r="A20" s="150" t="s">
        <v>145</v>
      </c>
      <c r="B20" s="150" t="s">
        <v>176</v>
      </c>
      <c r="C20" s="158">
        <f>Parameter!$B$33</f>
        <v>2016</v>
      </c>
      <c r="D20" s="152" t="s">
        <v>156</v>
      </c>
      <c r="E20" s="153" t="s">
        <v>147</v>
      </c>
      <c r="H20" s="154" t="s">
        <v>284</v>
      </c>
    </row>
    <row r="21" spans="1:8" ht="12.75">
      <c r="A21" s="150" t="s">
        <v>145</v>
      </c>
      <c r="B21" s="150" t="s">
        <v>178</v>
      </c>
      <c r="C21" s="158">
        <f>Parameter!$B$34</f>
        <v>11</v>
      </c>
      <c r="D21" s="152" t="s">
        <v>177</v>
      </c>
      <c r="E21" s="153" t="s">
        <v>147</v>
      </c>
      <c r="H21" s="154" t="s">
        <v>251</v>
      </c>
    </row>
    <row r="22" spans="1:5" ht="12.75">
      <c r="A22" s="150" t="s">
        <v>145</v>
      </c>
      <c r="B22" s="150" t="s">
        <v>0</v>
      </c>
      <c r="C22" s="202">
        <f>Parameter!$B$58</f>
        <v>0.015</v>
      </c>
      <c r="D22" s="152" t="s">
        <v>226</v>
      </c>
      <c r="E22" s="153" t="s">
        <v>147</v>
      </c>
    </row>
    <row r="23" spans="1:5" ht="12.75">
      <c r="A23" s="150" t="s">
        <v>145</v>
      </c>
      <c r="B23" s="150" t="s">
        <v>185</v>
      </c>
      <c r="C23" s="156">
        <f>Parameter!$B$70</f>
        <v>0</v>
      </c>
      <c r="D23" s="152" t="s">
        <v>305</v>
      </c>
      <c r="E23" s="153" t="s">
        <v>147</v>
      </c>
    </row>
    <row r="24" spans="1:5" ht="12.75">
      <c r="A24" s="150" t="s">
        <v>145</v>
      </c>
      <c r="B24" s="150" t="s">
        <v>187</v>
      </c>
      <c r="C24" s="151">
        <f>Parameter!$B$44</f>
        <v>0</v>
      </c>
      <c r="D24" s="152" t="s">
        <v>158</v>
      </c>
      <c r="E24" s="153" t="s">
        <v>147</v>
      </c>
    </row>
    <row r="25" spans="1:5" ht="12.75">
      <c r="A25" s="150" t="s">
        <v>145</v>
      </c>
      <c r="B25" s="150" t="s">
        <v>188</v>
      </c>
      <c r="C25" s="151">
        <f>Parameter!$B$52</f>
        <v>0</v>
      </c>
      <c r="D25" s="152" t="s">
        <v>194</v>
      </c>
      <c r="E25" s="153" t="s">
        <v>147</v>
      </c>
    </row>
    <row r="26" spans="1:5" ht="12.75">
      <c r="A26" s="150" t="s">
        <v>145</v>
      </c>
      <c r="B26" s="150" t="s">
        <v>10</v>
      </c>
      <c r="C26" s="150">
        <f>Parameter!$B$17</f>
        <v>4</v>
      </c>
      <c r="D26" s="152" t="s">
        <v>306</v>
      </c>
      <c r="E26" s="153" t="s">
        <v>147</v>
      </c>
    </row>
    <row r="27" spans="1:5" ht="12.75">
      <c r="A27" s="150" t="s">
        <v>145</v>
      </c>
      <c r="B27" s="150" t="s">
        <v>191</v>
      </c>
      <c r="C27" s="158">
        <f>Parameter!$B$50</f>
        <v>10</v>
      </c>
      <c r="D27" s="152" t="s">
        <v>189</v>
      </c>
      <c r="E27" s="153" t="s">
        <v>147</v>
      </c>
    </row>
    <row r="28" spans="1:5" ht="12.75">
      <c r="A28" s="150" t="s">
        <v>145</v>
      </c>
      <c r="B28" s="150" t="s">
        <v>193</v>
      </c>
      <c r="C28" s="158">
        <f>Parameter!$B$54</f>
        <v>15</v>
      </c>
      <c r="D28" s="152" t="s">
        <v>307</v>
      </c>
      <c r="E28" s="153" t="s">
        <v>147</v>
      </c>
    </row>
    <row r="29" spans="1:5" ht="12.75">
      <c r="A29" s="150" t="s">
        <v>145</v>
      </c>
      <c r="B29" s="150" t="s">
        <v>195</v>
      </c>
      <c r="C29" s="150">
        <f>Parameter!$B$25</f>
        <v>90</v>
      </c>
      <c r="D29" s="152" t="s">
        <v>232</v>
      </c>
      <c r="E29" s="153" t="s">
        <v>147</v>
      </c>
    </row>
    <row r="30" spans="1:8" ht="12.75">
      <c r="A30" s="150" t="s">
        <v>145</v>
      </c>
      <c r="B30" s="150" t="s">
        <v>197</v>
      </c>
      <c r="C30" s="156" t="str">
        <f>Parameter!$B$66</f>
        <v>nein</v>
      </c>
      <c r="D30" s="152" t="s">
        <v>186</v>
      </c>
      <c r="E30" s="153" t="s">
        <v>147</v>
      </c>
      <c r="H30" s="154" t="s">
        <v>252</v>
      </c>
    </row>
    <row r="31" spans="1:5" ht="12.75">
      <c r="A31" s="150" t="s">
        <v>145</v>
      </c>
      <c r="B31" s="150" t="s">
        <v>253</v>
      </c>
      <c r="C31" s="150" t="str">
        <f>Parameter!$A$2</f>
        <v>Stand: 17.11.2016</v>
      </c>
      <c r="D31" s="152" t="s">
        <v>254</v>
      </c>
      <c r="E31" s="153" t="s">
        <v>147</v>
      </c>
    </row>
    <row r="32" spans="1:7" ht="12.75">
      <c r="A32" s="150" t="s">
        <v>145</v>
      </c>
      <c r="B32" s="150" t="s">
        <v>198</v>
      </c>
      <c r="C32" s="202">
        <f>Parameter!$D$34</f>
        <v>0.0275</v>
      </c>
      <c r="D32" s="152" t="s">
        <v>308</v>
      </c>
      <c r="E32" s="153" t="s">
        <v>147</v>
      </c>
      <c r="G32" s="154" t="s">
        <v>234</v>
      </c>
    </row>
    <row r="33" spans="1:8" ht="12.75">
      <c r="A33" s="150" t="s">
        <v>145</v>
      </c>
      <c r="B33" s="150" t="s">
        <v>199</v>
      </c>
      <c r="C33" s="157" t="str">
        <f>Parameter!$B$71</f>
        <v>nein</v>
      </c>
      <c r="D33" s="152" t="s">
        <v>309</v>
      </c>
      <c r="E33" s="153" t="s">
        <v>147</v>
      </c>
      <c r="H33" s="154" t="s">
        <v>250</v>
      </c>
    </row>
    <row r="34" spans="1:5" ht="12.75">
      <c r="A34" s="150" t="s">
        <v>145</v>
      </c>
      <c r="B34" s="150" t="s">
        <v>200</v>
      </c>
      <c r="C34" s="156">
        <f>Parameter!$B$68</f>
        <v>0.3</v>
      </c>
      <c r="D34" s="152" t="s">
        <v>161</v>
      </c>
      <c r="E34" s="153" t="s">
        <v>147</v>
      </c>
    </row>
    <row r="35" spans="1:5" ht="12.75">
      <c r="A35" s="150" t="s">
        <v>145</v>
      </c>
      <c r="B35" s="150" t="s">
        <v>202</v>
      </c>
      <c r="C35" s="156">
        <f>Parameter!$B$69</f>
        <v>0.3</v>
      </c>
      <c r="D35" s="152" t="s">
        <v>310</v>
      </c>
      <c r="E35" s="153" t="s">
        <v>147</v>
      </c>
    </row>
    <row r="36" spans="1:5" ht="12.75">
      <c r="A36" s="150" t="s">
        <v>145</v>
      </c>
      <c r="B36" s="150" t="s">
        <v>204</v>
      </c>
      <c r="C36" s="203">
        <f>Parameter!$B$64</f>
        <v>0.03</v>
      </c>
      <c r="D36" s="152" t="s">
        <v>201</v>
      </c>
      <c r="E36" s="153" t="s">
        <v>147</v>
      </c>
    </row>
    <row r="37" spans="1:5" ht="12.75">
      <c r="A37" s="150" t="s">
        <v>145</v>
      </c>
      <c r="B37" s="150" t="s">
        <v>206</v>
      </c>
      <c r="C37" s="151">
        <f>Parameter!$B$27</f>
        <v>950</v>
      </c>
      <c r="D37" s="152" t="s">
        <v>196</v>
      </c>
      <c r="E37" s="153" t="s">
        <v>147</v>
      </c>
    </row>
    <row r="38" spans="1:5" ht="12.75">
      <c r="A38" s="150" t="s">
        <v>145</v>
      </c>
      <c r="B38" s="150" t="s">
        <v>208</v>
      </c>
      <c r="C38" s="201">
        <f>Parameter!$B$63</f>
        <v>0.24</v>
      </c>
      <c r="D38" s="152" t="s">
        <v>168</v>
      </c>
      <c r="E38" s="153" t="s">
        <v>147</v>
      </c>
    </row>
    <row r="39" spans="1:5" ht="12.75">
      <c r="A39" s="150" t="s">
        <v>145</v>
      </c>
      <c r="B39" s="150" t="s">
        <v>38</v>
      </c>
      <c r="C39" s="202">
        <f>Parameter!$B$65</f>
        <v>0.02</v>
      </c>
      <c r="D39" s="152" t="s">
        <v>203</v>
      </c>
      <c r="E39" s="153" t="s">
        <v>147</v>
      </c>
    </row>
    <row r="40" spans="1:5" ht="12.75">
      <c r="A40" s="150" t="s">
        <v>145</v>
      </c>
      <c r="B40" s="150" t="s">
        <v>210</v>
      </c>
      <c r="C40" s="158">
        <f>Parameter!$B$51</f>
        <v>2</v>
      </c>
      <c r="D40" s="152" t="s">
        <v>223</v>
      </c>
      <c r="E40" s="153" t="s">
        <v>147</v>
      </c>
    </row>
    <row r="41" spans="1:5" ht="12.75">
      <c r="A41" s="150" t="s">
        <v>145</v>
      </c>
      <c r="B41" s="150" t="s">
        <v>212</v>
      </c>
      <c r="C41" s="158">
        <f>Parameter!$B$55</f>
        <v>0</v>
      </c>
      <c r="D41" s="152" t="s">
        <v>311</v>
      </c>
      <c r="E41" s="153" t="s">
        <v>147</v>
      </c>
    </row>
    <row r="42" spans="1:7" ht="12.75">
      <c r="A42" s="150" t="s">
        <v>145</v>
      </c>
      <c r="B42" s="150" t="s">
        <v>214</v>
      </c>
      <c r="C42" s="151">
        <f>Parameter!$B$24</f>
        <v>180</v>
      </c>
      <c r="D42" s="152" t="s">
        <v>228</v>
      </c>
      <c r="E42" s="153" t="s">
        <v>147</v>
      </c>
      <c r="G42" s="154" t="s">
        <v>235</v>
      </c>
    </row>
    <row r="43" spans="1:5" ht="12.75">
      <c r="A43" s="150" t="s">
        <v>145</v>
      </c>
      <c r="B43" s="150" t="s">
        <v>216</v>
      </c>
      <c r="C43" s="151">
        <f>Parameter!$B$48</f>
        <v>10</v>
      </c>
      <c r="D43" s="152" t="s">
        <v>192</v>
      </c>
      <c r="E43" s="153" t="s">
        <v>147</v>
      </c>
    </row>
    <row r="44" spans="1:5" ht="12.75">
      <c r="A44" s="150" t="s">
        <v>145</v>
      </c>
      <c r="B44" s="150" t="s">
        <v>218</v>
      </c>
      <c r="C44" s="157">
        <f>Parameter!$B$47</f>
        <v>0.0335</v>
      </c>
      <c r="D44" s="152" t="s">
        <v>221</v>
      </c>
      <c r="E44" s="153" t="s">
        <v>147</v>
      </c>
    </row>
    <row r="45" spans="1:5" ht="12.75">
      <c r="A45" s="150" t="s">
        <v>145</v>
      </c>
      <c r="B45" s="150" t="s">
        <v>220</v>
      </c>
      <c r="C45" s="157">
        <f>Parameter!$B$49</f>
        <v>0.05</v>
      </c>
      <c r="D45" s="152" t="s">
        <v>211</v>
      </c>
      <c r="E45" s="153" t="s">
        <v>147</v>
      </c>
    </row>
    <row r="46" spans="1:5" ht="12.75">
      <c r="A46" s="150" t="s">
        <v>145</v>
      </c>
      <c r="B46" s="150" t="s">
        <v>222</v>
      </c>
      <c r="C46" s="202">
        <f>Parameter!$B$53</f>
        <v>0.05</v>
      </c>
      <c r="D46" s="152" t="s">
        <v>213</v>
      </c>
      <c r="E46" s="153" t="s">
        <v>147</v>
      </c>
    </row>
    <row r="47" spans="1:5" ht="12.75">
      <c r="A47" s="150" t="s">
        <v>145</v>
      </c>
      <c r="B47" s="150" t="s">
        <v>224</v>
      </c>
      <c r="C47" s="202">
        <f>Parameter!$B$59</f>
        <v>0.03</v>
      </c>
      <c r="D47" s="152" t="s">
        <v>209</v>
      </c>
      <c r="E47" s="153" t="s">
        <v>147</v>
      </c>
    </row>
    <row r="48" spans="1:7" ht="12.75">
      <c r="A48" s="150" t="s">
        <v>145</v>
      </c>
      <c r="B48" s="150" t="s">
        <v>225</v>
      </c>
      <c r="C48" s="202">
        <f>Parameter!$B$60</f>
        <v>0.015</v>
      </c>
      <c r="D48" s="152" t="s">
        <v>205</v>
      </c>
      <c r="E48" s="153" t="s">
        <v>147</v>
      </c>
      <c r="G48" s="154" t="s">
        <v>236</v>
      </c>
    </row>
    <row r="49" spans="1:5" ht="12.75">
      <c r="A49" s="150" t="s">
        <v>145</v>
      </c>
      <c r="B49" s="150" t="s">
        <v>227</v>
      </c>
      <c r="C49" s="151">
        <f>Parameter!$B$22</f>
        <v>4500</v>
      </c>
      <c r="D49" s="152" t="s">
        <v>154</v>
      </c>
      <c r="E49" s="153" t="s">
        <v>147</v>
      </c>
    </row>
    <row r="50" spans="1:5" ht="12.75">
      <c r="A50" s="150" t="s">
        <v>145</v>
      </c>
      <c r="B50" s="150" t="s">
        <v>229</v>
      </c>
      <c r="C50" s="151">
        <f>Parameter!$B$21</f>
        <v>1500</v>
      </c>
      <c r="D50" s="152" t="s">
        <v>152</v>
      </c>
      <c r="E50" s="153" t="s">
        <v>147</v>
      </c>
    </row>
    <row r="51" spans="1:5" ht="12.75">
      <c r="A51" s="150" t="s">
        <v>145</v>
      </c>
      <c r="B51" s="150" t="s">
        <v>231</v>
      </c>
      <c r="C51" s="151">
        <f>Parameter!$B$23</f>
        <v>0</v>
      </c>
      <c r="D51" s="152" t="s">
        <v>230</v>
      </c>
      <c r="E51" s="153" t="s">
        <v>147</v>
      </c>
    </row>
    <row r="52" spans="1:7" ht="12.75">
      <c r="A52" s="150" t="s">
        <v>179</v>
      </c>
      <c r="B52" s="150" t="s">
        <v>180</v>
      </c>
      <c r="C52" s="202">
        <f>Berechnung!$Y$30</f>
        <v>-0.009601969469578586</v>
      </c>
      <c r="D52" s="152" t="s">
        <v>181</v>
      </c>
      <c r="E52" s="153" t="s">
        <v>147</v>
      </c>
      <c r="G52" s="154" t="s">
        <v>182</v>
      </c>
    </row>
    <row r="53" spans="1:7" ht="12.75">
      <c r="A53" s="150" t="s">
        <v>179</v>
      </c>
      <c r="B53" s="150" t="s">
        <v>183</v>
      </c>
      <c r="C53" s="202">
        <f>Berechnung!$Y$31</f>
        <v>0.0012656471484482346</v>
      </c>
      <c r="D53" s="152" t="s">
        <v>184</v>
      </c>
      <c r="E53" s="153" t="s">
        <v>147</v>
      </c>
      <c r="G53" s="154" t="s">
        <v>240</v>
      </c>
    </row>
    <row r="54" spans="1:7" ht="12.75">
      <c r="A54" s="150" t="s">
        <v>179</v>
      </c>
      <c r="B54" s="150" t="s">
        <v>23</v>
      </c>
      <c r="C54" s="151">
        <f>Berechnung!$Z$29</f>
        <v>-4059.861947790126</v>
      </c>
      <c r="D54" s="152" t="s">
        <v>244</v>
      </c>
      <c r="E54" s="153" t="s">
        <v>147</v>
      </c>
      <c r="G54" s="154" t="s">
        <v>245</v>
      </c>
    </row>
    <row r="55" spans="1:7" ht="12.75">
      <c r="A55" s="150" t="s">
        <v>179</v>
      </c>
      <c r="B55" s="150" t="s">
        <v>241</v>
      </c>
      <c r="C55" s="203">
        <f>Berechnung!$AC$31</f>
        <v>0.2543888875003038</v>
      </c>
      <c r="D55" s="152" t="s">
        <v>242</v>
      </c>
      <c r="E55" s="153" t="s">
        <v>147</v>
      </c>
      <c r="G55" s="154" t="s">
        <v>243</v>
      </c>
    </row>
    <row r="56" spans="1:7" ht="63.75">
      <c r="A56" s="150" t="s">
        <v>255</v>
      </c>
      <c r="B56" s="150" t="s">
        <v>260</v>
      </c>
      <c r="C56" s="150">
        <f>Vergütung!$A$3</f>
        <v>0.2874</v>
      </c>
      <c r="D56" s="152" t="s">
        <v>261</v>
      </c>
      <c r="E56" s="153" t="s">
        <v>147</v>
      </c>
      <c r="G56" s="154" t="s">
        <v>262</v>
      </c>
    </row>
    <row r="57" spans="1:7" ht="12.75">
      <c r="A57" s="150" t="s">
        <v>255</v>
      </c>
      <c r="B57" s="150" t="s">
        <v>263</v>
      </c>
      <c r="C57" s="150">
        <f>Vergütung!$B$3</f>
        <v>0.24428999999999998</v>
      </c>
      <c r="D57" s="152" t="s">
        <v>264</v>
      </c>
      <c r="E57" s="153" t="s">
        <v>147</v>
      </c>
      <c r="G57" s="154" t="s">
        <v>265</v>
      </c>
    </row>
    <row r="58" spans="1:7" ht="51">
      <c r="A58" s="150" t="s">
        <v>255</v>
      </c>
      <c r="B58" s="150" t="s">
        <v>271</v>
      </c>
      <c r="C58" s="150">
        <f>Vergütung!$C$3</f>
        <v>0.195</v>
      </c>
      <c r="D58" s="152" t="s">
        <v>256</v>
      </c>
      <c r="E58" s="153" t="s">
        <v>147</v>
      </c>
      <c r="G58" s="154" t="s">
        <v>257</v>
      </c>
    </row>
    <row r="59" spans="1:7" ht="12.75">
      <c r="A59" s="150" t="s">
        <v>255</v>
      </c>
      <c r="B59" s="150" t="s">
        <v>272</v>
      </c>
      <c r="C59" s="150">
        <f>Vergütung!$D$3</f>
        <v>0.14074145356515638</v>
      </c>
      <c r="D59" s="152" t="s">
        <v>258</v>
      </c>
      <c r="E59" s="153" t="s">
        <v>147</v>
      </c>
      <c r="G59" s="154" t="s">
        <v>259</v>
      </c>
    </row>
    <row r="60" spans="1:7" ht="12.75">
      <c r="A60" s="150" t="s">
        <v>255</v>
      </c>
      <c r="B60" s="150" t="s">
        <v>266</v>
      </c>
      <c r="C60" s="150">
        <f>Vergütung!$E$3</f>
        <v>0.12626154916536222</v>
      </c>
      <c r="D60" s="152" t="s">
        <v>267</v>
      </c>
      <c r="E60" s="153" t="s">
        <v>147</v>
      </c>
      <c r="G60" s="154" t="s">
        <v>268</v>
      </c>
    </row>
    <row r="61" spans="1:7" ht="12.75">
      <c r="A61" s="150" t="s">
        <v>255</v>
      </c>
      <c r="B61" s="198" t="s">
        <v>295</v>
      </c>
      <c r="C61" s="150">
        <f>Vergütung!$F$3</f>
        <v>0.12314028578916483</v>
      </c>
      <c r="D61" s="152" t="s">
        <v>269</v>
      </c>
      <c r="E61" s="153" t="s">
        <v>147</v>
      </c>
      <c r="G61" s="154" t="s">
        <v>276</v>
      </c>
    </row>
    <row r="62" spans="1:7" ht="12.75">
      <c r="A62" s="150" t="s">
        <v>255</v>
      </c>
      <c r="B62" s="198" t="s">
        <v>294</v>
      </c>
      <c r="C62" s="150">
        <f>EEGSatz2016</f>
        <v>0.12314028578916483</v>
      </c>
      <c r="D62" s="199" t="s">
        <v>297</v>
      </c>
      <c r="E62" s="153" t="s">
        <v>147</v>
      </c>
      <c r="G62" s="200" t="s">
        <v>299</v>
      </c>
    </row>
    <row r="63" spans="1:7" ht="12.75">
      <c r="A63" s="150" t="s">
        <v>255</v>
      </c>
      <c r="B63" s="198" t="s">
        <v>296</v>
      </c>
      <c r="C63" s="150">
        <f>Vergütung!H3</f>
        <v>0.12314028578916483</v>
      </c>
      <c r="D63" s="199" t="s">
        <v>298</v>
      </c>
      <c r="E63" s="153" t="s">
        <v>147</v>
      </c>
      <c r="G63" s="200" t="s">
        <v>300</v>
      </c>
    </row>
  </sheetData>
  <sheetProtection sheet="1" objects="1" scenarios="1"/>
  <autoFilter ref="A1:H1"/>
  <hyperlinks>
    <hyperlink ref="G1" r:id="rId1" display="Formel in Zelle (engl)"/>
    <hyperlink ref="E2" location="Parameter!$B$37" display="'&lt;---"/>
    <hyperlink ref="E3" location="Parameter!$B$20" display="'&lt;---"/>
    <hyperlink ref="E4" location="Parameter!$B$43" display="'&lt;---"/>
    <hyperlink ref="E5" location="Parameter!$B$21" display="'&lt;---"/>
    <hyperlink ref="E6" location="Parameter!$B$22" display="'&lt;---"/>
    <hyperlink ref="E7" location="Parameter!$B$33" display="'&lt;---"/>
    <hyperlink ref="E9" location="Parameter!$B$44" display="'&lt;---"/>
    <hyperlink ref="E10" location="Parameter!$B$28" display="'&lt;---"/>
    <hyperlink ref="E11" location="Parameter!$B$68" display="'&lt;---"/>
    <hyperlink ref="E12" location="Parameter!$B$38" display="'&lt;---"/>
    <hyperlink ref="E13" location="Parameter!$B$39" display="'&lt;---"/>
    <hyperlink ref="E56" location="Vergütung!$A$3" display="'&lt;---"/>
    <hyperlink ref="E57" location="Vergütung!$B$3" display="'&lt;---"/>
    <hyperlink ref="E58" location="Vergütung!$C$3" display="'&lt;---"/>
    <hyperlink ref="E59" location="Vergütung!$D$3" display="'&lt;---"/>
    <hyperlink ref="E60" location="Vergütung!$E$3" display="'&lt;---"/>
    <hyperlink ref="E61" location="Vergütung!$F$3" display="'&lt;---"/>
    <hyperlink ref="E14" location="Parameter!$B$63" display="'&lt;---"/>
    <hyperlink ref="E15" location="Parameter!$E$63" display="'&lt;---"/>
    <hyperlink ref="E16" location="Parameter!$B$15" display="'&lt;---"/>
    <hyperlink ref="E17" location="Parameter!$B$32" display="'&lt;---"/>
    <hyperlink ref="E18" location="Parameter!$B$31" display="'&lt;---"/>
    <hyperlink ref="E19" location="Parameter!$B$30" display="'&lt;---"/>
    <hyperlink ref="E20" location="Parameter!$B$34" display="'&lt;---"/>
    <hyperlink ref="E21" location="Parameter!$B$35" display="'&lt;---"/>
    <hyperlink ref="E22" location="Parameter!$B$56" display="'&lt;---"/>
    <hyperlink ref="E52" location="Berechnung!$X$30" display="'&lt;---"/>
    <hyperlink ref="E53" location="Berechnung!$X$31" display="'&lt;---"/>
    <hyperlink ref="E23" location="Parameter!$B$66" display="'&lt;---"/>
    <hyperlink ref="E54" location="Berechnung!$Y$29" display="'&lt;---"/>
    <hyperlink ref="E24" location="Parameter!$B$42" display="'&lt;---"/>
    <hyperlink ref="E25" location="Parameter!$B$50" display="'&lt;---"/>
    <hyperlink ref="E26" location="Parameter!$B$19" display="'&lt;---"/>
    <hyperlink ref="E27" location="Parameter!$B$48" display="'&lt;---"/>
    <hyperlink ref="E28" location="Parameter!$B$52" display="'&lt;---"/>
    <hyperlink ref="E55" location="Berechnung!$AB$31" display="'&lt;---"/>
    <hyperlink ref="E29" location="Parameter!$B$27" display="'&lt;---"/>
    <hyperlink ref="E30" location="Parameter!$B$62" display="'&lt;---"/>
    <hyperlink ref="E31" location="Parameter!$A$2" display="'&lt;---"/>
    <hyperlink ref="E32" location="Parameter!$D$35" display="'&lt;---"/>
    <hyperlink ref="E33" location="Parameter!$B$67" display="'&lt;---"/>
    <hyperlink ref="E34" location="Parameter!$B$64" display="'&lt;---"/>
    <hyperlink ref="E35" location="Parameter!$B$65" display="'&lt;---"/>
    <hyperlink ref="E36" location="Parameter!$B$60" display="'&lt;---"/>
    <hyperlink ref="E37" location="Parameter!$B$29" display="'&lt;---"/>
    <hyperlink ref="E38" location="Parameter!$B$59" display="'&lt;---"/>
    <hyperlink ref="E39" location="Parameter!$B$61" display="'&lt;---"/>
    <hyperlink ref="E40" location="Parameter!$B$49" display="'&lt;---"/>
    <hyperlink ref="E41" location="Parameter!$B$53" display="'&lt;---"/>
    <hyperlink ref="E42" location="Parameter!$B$26" display="'&lt;---"/>
    <hyperlink ref="E43" location="Parameter!$B$46" display="'&lt;---"/>
    <hyperlink ref="E44" location="Parameter!$B$45" display="'&lt;---"/>
    <hyperlink ref="E45" location="Parameter!$B$47" display="'&lt;---"/>
    <hyperlink ref="E46" location="Parameter!$B$51" display="'&lt;---"/>
    <hyperlink ref="E47" location="Parameter!$B$57" display="'&lt;---"/>
    <hyperlink ref="E48" location="Parameter!$B$58" display="'&lt;---"/>
    <hyperlink ref="E49" location="Parameter!$B$24" display="'&lt;---"/>
    <hyperlink ref="E50" location="Parameter!$B$23" display="'&lt;---"/>
    <hyperlink ref="E51" location="Parameter!$B$25" display="'&lt;---"/>
    <hyperlink ref="E62" location="Vergütung!$E$3" display="'&lt;---"/>
    <hyperlink ref="E63" location="Vergütung!$F$3" display="'&lt;---"/>
    <hyperlink ref="E8" location="Parameter!$B$33" display="'&lt;---"/>
  </hyperlinks>
  <printOptions/>
  <pageMargins left="0.787401575" right="0.787401575" top="0.984251969" bottom="0.984251969" header="0.4921259845" footer="0.4921259845"/>
  <pageSetup orientation="portrait" paperSize="9"/>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Alfred Körblein</dc:creator>
  <cp:keywords/>
  <dc:description/>
  <cp:lastModifiedBy>Franziska Buch</cp:lastModifiedBy>
  <cp:lastPrinted>2016-05-25T14:37:50Z</cp:lastPrinted>
  <dcterms:created xsi:type="dcterms:W3CDTF">1999-10-30T15:36:17Z</dcterms:created>
  <dcterms:modified xsi:type="dcterms:W3CDTF">2016-11-17T09:23:55Z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